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Экономист\ПТО\Расчет ставок на ТП на 2023 год\Докуметы в работе с Ольгой Алексеевной\"/>
    </mc:Choice>
  </mc:AlternateContent>
  <xr:revisionPtr revIDLastSave="0" documentId="13_ncr:1_{025B0BFA-7933-4626-9CC4-BEEDF617451A}" xr6:coauthVersionLast="45" xr6:coauthVersionMax="45" xr10:uidLastSave="{00000000-0000-0000-0000-000000000000}"/>
  <bookViews>
    <workbookView xWindow="-108" yWindow="-108" windowWidth="23256" windowHeight="12576" tabRatio="674" activeTab="4" xr2:uid="{00000000-000D-0000-FFFF-FFFF00000000}"/>
  </bookViews>
  <sheets>
    <sheet name="Прил. 1 город 2019" sheetId="14" r:id="rId1"/>
    <sheet name="Прил. 1 город 2020" sheetId="2" r:id="rId2"/>
    <sheet name="Прил. 1 город 2021)" sheetId="10" r:id="rId3"/>
    <sheet name="Прил. 2 " sheetId="8" r:id="rId4"/>
    <sheet name="Прил. 3" sheetId="9" r:id="rId5"/>
  </sheets>
  <externalReferences>
    <externalReference r:id="rId6"/>
    <externalReference r:id="rId7"/>
    <externalReference r:id="rId8"/>
    <externalReference r:id="rId9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 localSheetId="4">#REF!</definedName>
    <definedName name="___RAZ1">#REF!</definedName>
    <definedName name="___RAZ2" localSheetId="4">#REF!</definedName>
    <definedName name="___RAZ2">#REF!</definedName>
    <definedName name="___RAZ3" localSheetId="4">#REF!</definedName>
    <definedName name="___RAZ3">#REF!</definedName>
    <definedName name="___RAZ4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 localSheetId="4">#REF!</definedName>
    <definedName name="__RAZ1">#REF!</definedName>
    <definedName name="__RAZ2" localSheetId="4">#REF!</definedName>
    <definedName name="__RAZ2">#REF!</definedName>
    <definedName name="__RAZ3" localSheetId="4">#REF!</definedName>
    <definedName name="__RAZ3">#REF!</definedName>
    <definedName name="__RAZ55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 localSheetId="4">#REF!</definedName>
    <definedName name="_RAZ1">#REF!</definedName>
    <definedName name="_RAZ2" localSheetId="4">#REF!</definedName>
    <definedName name="_RAZ2">#REF!</definedName>
    <definedName name="_RAZ3" localSheetId="4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_xlnm._FilterDatabase" localSheetId="0" hidden="1">'Прил. 1 город 2019'!#REF!</definedName>
    <definedName name="_xlnm._FilterDatabase" localSheetId="1" hidden="1">'Прил. 1 город 2020'!#REF!</definedName>
    <definedName name="_xlnm._FilterDatabase" localSheetId="2" hidden="1">'Прил. 1 город 2021)'!#REF!</definedName>
    <definedName name="A" localSheetId="4">#REF!</definedName>
    <definedName name="A">#REF!</definedName>
    <definedName name="B" localSheetId="4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ExternalData_1" localSheetId="0" hidden="1">'Прил. 1 город 2019'!$A$7:$L$184</definedName>
    <definedName name="ExternalData_1" localSheetId="1" hidden="1">'Прил. 1 город 2020'!$A$7:$L$199</definedName>
    <definedName name="ExternalData_1" localSheetId="2" hidden="1">'Прил. 1 город 2021)'!$A$7:$L$266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 localSheetId="4">#REF!</definedName>
    <definedName name="ISHOD1">#REF!</definedName>
    <definedName name="ISHOD2_1" localSheetId="4">#REF!</definedName>
    <definedName name="ISHOD2_1">#REF!</definedName>
    <definedName name="ISHOD2_2" localSheetId="4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 localSheetId="4">#REF!</definedName>
    <definedName name="PARAM1_1">#REF!</definedName>
    <definedName name="PARAM1_2" localSheetId="4">#REF!</definedName>
    <definedName name="PARAM1_2">#REF!</definedName>
    <definedName name="PARAM2" localSheetId="4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 localSheetId="4">#REF!</definedName>
    <definedName name="PRINT_SENS">#REF!</definedName>
    <definedName name="PRO" localSheetId="4">[1]MAIN!#REF!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 localSheetId="4">#REF!</definedName>
    <definedName name="RAZMER1">#REF!</definedName>
    <definedName name="RAZMER2" localSheetId="4">#REF!</definedName>
    <definedName name="RAZMER2">#REF!</definedName>
    <definedName name="RAZMER3" localSheetId="4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апвы" localSheetId="4">#REF!</definedName>
    <definedName name="апвы">#REF!</definedName>
    <definedName name="Вид_строительства">[3]Справочник!$A$3:$A$62</definedName>
    <definedName name="Диапазон">[3]Справочник!$C$3:$C$6</definedName>
    <definedName name="Максим" localSheetId="4">#REF!</definedName>
    <definedName name="Максим">#REF!</definedName>
    <definedName name="мама" localSheetId="4">#REF!</definedName>
    <definedName name="мама">#REF!</definedName>
    <definedName name="_xlnm.Print_Area" localSheetId="0">'Прил. 1 город 2019'!$A$1:$L$193</definedName>
    <definedName name="_xlnm.Print_Area" localSheetId="1">'Прил. 1 город 2020'!$A$1:$L$208</definedName>
    <definedName name="_xlnm.Print_Area" localSheetId="2">'Прил. 1 город 2021)'!$A$1:$L$273</definedName>
    <definedName name="_xlnm.Print_Area" localSheetId="3">'Прил. 2 '!$A$1:$U$31</definedName>
    <definedName name="_xlnm.Print_Area" localSheetId="4">'Прил. 3'!$A$1:$K$32</definedName>
    <definedName name="Проц1">[1]MAIN!$F$186</definedName>
    <definedName name="ПроцИзПр1">[1]MAIN!$F$188</definedName>
    <definedName name="РЭС">[4]Лист3!$A$1:$A$16</definedName>
    <definedName name="СтНПр1">[1]MAIN!$F$180</definedName>
    <definedName name="Тамбовский" localSheetId="4">#REF!</definedName>
    <definedName name="Тамбовский">#REF!</definedName>
    <definedName name="ЧП1">[1]MAIN!$F$396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8" l="1"/>
  <c r="H18" i="8"/>
  <c r="I18" i="8"/>
  <c r="J18" i="8"/>
  <c r="K18" i="8"/>
  <c r="L18" i="8"/>
  <c r="M18" i="8"/>
  <c r="N18" i="8"/>
  <c r="O18" i="8"/>
  <c r="P18" i="8"/>
  <c r="Q18" i="8"/>
  <c r="R18" i="8"/>
  <c r="S18" i="8"/>
  <c r="M19" i="8" l="1"/>
  <c r="N19" i="8"/>
  <c r="L19" i="8"/>
  <c r="E19" i="8"/>
  <c r="D19" i="8"/>
  <c r="D10" i="9" l="1"/>
  <c r="C15" i="9"/>
  <c r="I24" i="9"/>
  <c r="H112" i="14" l="1"/>
  <c r="G42" i="14"/>
  <c r="E42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F159" i="2"/>
  <c r="G159" i="2"/>
  <c r="G216" i="2"/>
  <c r="H164" i="2"/>
  <c r="H163" i="2"/>
  <c r="H161" i="2"/>
  <c r="H160" i="2"/>
  <c r="G222" i="2" l="1"/>
  <c r="G39" i="2" l="1"/>
  <c r="F39" i="2"/>
  <c r="E39" i="2"/>
  <c r="E216" i="2"/>
  <c r="E213" i="2" l="1"/>
  <c r="E217" i="2" s="1"/>
  <c r="H110" i="2"/>
  <c r="H46" i="2"/>
  <c r="H107" i="2"/>
  <c r="H41" i="2"/>
  <c r="H42" i="2"/>
  <c r="H43" i="2"/>
  <c r="H44" i="2"/>
  <c r="H45" i="2"/>
  <c r="H40" i="2"/>
  <c r="H19" i="2"/>
  <c r="H20" i="2"/>
  <c r="H21" i="2"/>
  <c r="H22" i="2"/>
  <c r="H23" i="2"/>
  <c r="H24" i="2"/>
  <c r="H12" i="2"/>
  <c r="H13" i="2"/>
  <c r="H14" i="2"/>
  <c r="H15" i="2"/>
  <c r="H16" i="2"/>
  <c r="H17" i="2"/>
  <c r="H18" i="2"/>
  <c r="H11" i="2"/>
  <c r="H165" i="10"/>
  <c r="H166" i="10"/>
  <c r="H164" i="10"/>
  <c r="F166" i="10"/>
  <c r="F163" i="10" s="1"/>
  <c r="F165" i="10"/>
  <c r="G163" i="10"/>
  <c r="G162" i="10"/>
  <c r="G37" i="10" l="1"/>
  <c r="H284" i="10"/>
  <c r="G286" i="10"/>
  <c r="E281" i="10"/>
  <c r="E278" i="10"/>
  <c r="H141" i="10"/>
  <c r="H43" i="10"/>
  <c r="H156" i="10"/>
  <c r="H42" i="10"/>
  <c r="E10" i="10"/>
  <c r="H38" i="10"/>
  <c r="H37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108" i="10"/>
  <c r="H41" i="10"/>
  <c r="H12" i="10"/>
  <c r="H13" i="10"/>
  <c r="H14" i="10"/>
  <c r="H15" i="10"/>
  <c r="H16" i="10"/>
  <c r="H17" i="10"/>
  <c r="H18" i="10"/>
  <c r="H19" i="10"/>
  <c r="H20" i="10"/>
  <c r="H21" i="10"/>
  <c r="H11" i="10"/>
  <c r="K24" i="9" l="1"/>
  <c r="J24" i="9"/>
  <c r="K18" i="9"/>
  <c r="J18" i="9"/>
  <c r="J15" i="9" s="1"/>
  <c r="J10" i="9" s="1"/>
  <c r="K15" i="9"/>
  <c r="K10" i="9" s="1"/>
  <c r="P19" i="8"/>
  <c r="Q19" i="8"/>
  <c r="G34" i="8" l="1"/>
  <c r="K34" i="8"/>
  <c r="J20" i="8" l="1"/>
  <c r="R20" i="8" s="1"/>
  <c r="D15" i="9"/>
  <c r="E175" i="2" l="1"/>
  <c r="E181" i="2"/>
  <c r="E194" i="2"/>
  <c r="E259" i="10"/>
  <c r="E190" i="10"/>
  <c r="E181" i="10"/>
  <c r="E180" i="10" s="1"/>
  <c r="G259" i="10"/>
  <c r="G258" i="10"/>
  <c r="G257" i="10"/>
  <c r="G256" i="10"/>
  <c r="G255" i="10"/>
  <c r="G254" i="10"/>
  <c r="G253" i="10"/>
  <c r="G252" i="10"/>
  <c r="G251" i="10"/>
  <c r="G250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3" i="10"/>
  <c r="G232" i="10"/>
  <c r="G231" i="10"/>
  <c r="G230" i="10"/>
  <c r="G229" i="10"/>
  <c r="G228" i="10"/>
  <c r="G227" i="10"/>
  <c r="G226" i="10"/>
  <c r="G225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1" i="10"/>
  <c r="G200" i="10"/>
  <c r="G199" i="10"/>
  <c r="G198" i="10"/>
  <c r="G197" i="10"/>
  <c r="G196" i="10"/>
  <c r="G195" i="10"/>
  <c r="G194" i="10"/>
  <c r="G193" i="10"/>
  <c r="G192" i="10"/>
  <c r="G191" i="10"/>
  <c r="G188" i="10"/>
  <c r="G187" i="10"/>
  <c r="G186" i="10"/>
  <c r="G185" i="10"/>
  <c r="G184" i="10"/>
  <c r="G183" i="10"/>
  <c r="G182" i="10"/>
  <c r="G190" i="10" l="1"/>
  <c r="G189" i="10" s="1"/>
  <c r="G181" i="10"/>
  <c r="G180" i="10" s="1"/>
  <c r="E180" i="2"/>
  <c r="E189" i="10"/>
  <c r="E179" i="10" s="1"/>
  <c r="G179" i="10" l="1"/>
  <c r="G194" i="2"/>
  <c r="H194" i="2" s="1"/>
  <c r="G181" i="2"/>
  <c r="H181" i="2" s="1"/>
  <c r="G175" i="2"/>
  <c r="H175" i="2" l="1"/>
  <c r="G174" i="2"/>
  <c r="G180" i="2"/>
  <c r="H180" i="2" s="1"/>
  <c r="G178" i="14"/>
  <c r="F178" i="14"/>
  <c r="E178" i="14"/>
  <c r="G175" i="14"/>
  <c r="F175" i="14"/>
  <c r="D175" i="14"/>
  <c r="G172" i="14"/>
  <c r="F172" i="14"/>
  <c r="H172" i="14" s="1"/>
  <c r="G170" i="14"/>
  <c r="F170" i="14"/>
  <c r="G166" i="14"/>
  <c r="F166" i="14"/>
  <c r="G164" i="14"/>
  <c r="F164" i="14"/>
  <c r="G161" i="14"/>
  <c r="F161" i="14"/>
  <c r="E161" i="14"/>
  <c r="G159" i="14"/>
  <c r="F159" i="14"/>
  <c r="E159" i="14"/>
  <c r="G157" i="14"/>
  <c r="F157" i="14"/>
  <c r="E157" i="14"/>
  <c r="G155" i="14"/>
  <c r="F155" i="14"/>
  <c r="E155" i="14"/>
  <c r="G152" i="14"/>
  <c r="F152" i="14"/>
  <c r="E152" i="14"/>
  <c r="G149" i="14"/>
  <c r="F149" i="14"/>
  <c r="E149" i="14"/>
  <c r="G146" i="14"/>
  <c r="F146" i="14"/>
  <c r="E146" i="14"/>
  <c r="G144" i="14"/>
  <c r="F144" i="14"/>
  <c r="E144" i="14"/>
  <c r="G141" i="14"/>
  <c r="F141" i="14"/>
  <c r="E141" i="14"/>
  <c r="G138" i="14"/>
  <c r="F138" i="14"/>
  <c r="E138" i="14"/>
  <c r="G135" i="14"/>
  <c r="F135" i="14"/>
  <c r="E135" i="14"/>
  <c r="G118" i="14"/>
  <c r="F118" i="14"/>
  <c r="E118" i="14"/>
  <c r="G116" i="14"/>
  <c r="F116" i="14"/>
  <c r="E116" i="14"/>
  <c r="G114" i="14"/>
  <c r="F114" i="14"/>
  <c r="E114" i="14"/>
  <c r="G111" i="14"/>
  <c r="G198" i="14" s="1"/>
  <c r="F111" i="14"/>
  <c r="E111" i="14"/>
  <c r="G109" i="14"/>
  <c r="F109" i="14"/>
  <c r="E109" i="14"/>
  <c r="H42" i="14"/>
  <c r="F42" i="14"/>
  <c r="D42" i="14"/>
  <c r="G10" i="14"/>
  <c r="H10" i="14" s="1"/>
  <c r="F10" i="14"/>
  <c r="E10" i="14"/>
  <c r="H135" i="14" l="1"/>
  <c r="H157" i="14"/>
  <c r="H146" i="14"/>
  <c r="H118" i="14"/>
  <c r="H144" i="14"/>
  <c r="H155" i="14"/>
  <c r="H116" i="14"/>
  <c r="H141" i="14"/>
  <c r="H175" i="14"/>
  <c r="H178" i="14"/>
  <c r="H109" i="14"/>
  <c r="H152" i="14"/>
  <c r="H170" i="14"/>
  <c r="H138" i="14"/>
  <c r="H149" i="14"/>
  <c r="H174" i="2"/>
  <c r="H114" i="14"/>
  <c r="H111" i="14"/>
  <c r="H161" i="14"/>
  <c r="H166" i="14"/>
  <c r="H159" i="14"/>
  <c r="H164" i="14"/>
  <c r="I18" i="9" l="1"/>
  <c r="I15" i="9" s="1"/>
  <c r="C18" i="9"/>
  <c r="I10" i="9" l="1"/>
  <c r="F19" i="8" s="1"/>
  <c r="R19" i="8" l="1"/>
  <c r="S19" i="8" s="1"/>
  <c r="R21" i="8"/>
  <c r="N16" i="8"/>
  <c r="D18" i="8" l="1"/>
  <c r="F18" i="8"/>
  <c r="E18" i="8"/>
  <c r="E24" i="9" l="1"/>
  <c r="D24" i="9"/>
  <c r="C24" i="9"/>
  <c r="E18" i="9"/>
  <c r="D18" i="9"/>
  <c r="E15" i="9" l="1"/>
  <c r="D17" i="8"/>
  <c r="E10" i="9" l="1"/>
  <c r="C10" i="9"/>
  <c r="H179" i="10"/>
  <c r="G176" i="10"/>
  <c r="F176" i="10"/>
  <c r="D176" i="10"/>
  <c r="G173" i="10"/>
  <c r="F173" i="10"/>
  <c r="G171" i="10"/>
  <c r="F171" i="10"/>
  <c r="G167" i="10"/>
  <c r="F167" i="10"/>
  <c r="G160" i="10"/>
  <c r="F160" i="10"/>
  <c r="E160" i="10"/>
  <c r="G158" i="10"/>
  <c r="F158" i="10"/>
  <c r="E158" i="10"/>
  <c r="G156" i="10"/>
  <c r="F156" i="10"/>
  <c r="E156" i="10"/>
  <c r="G154" i="10"/>
  <c r="F154" i="10"/>
  <c r="E154" i="10"/>
  <c r="G151" i="10"/>
  <c r="F151" i="10"/>
  <c r="E151" i="10"/>
  <c r="G148" i="10"/>
  <c r="F148" i="10"/>
  <c r="E148" i="10"/>
  <c r="G145" i="10"/>
  <c r="F145" i="10"/>
  <c r="E145" i="10"/>
  <c r="G143" i="10"/>
  <c r="F143" i="10"/>
  <c r="E143" i="10"/>
  <c r="G140" i="10"/>
  <c r="F140" i="10"/>
  <c r="E140" i="10"/>
  <c r="G137" i="10"/>
  <c r="F137" i="10"/>
  <c r="E137" i="10"/>
  <c r="G134" i="10"/>
  <c r="F134" i="10"/>
  <c r="E134" i="10"/>
  <c r="G117" i="10"/>
  <c r="F117" i="10"/>
  <c r="E117" i="10"/>
  <c r="G115" i="10"/>
  <c r="F115" i="10"/>
  <c r="E115" i="10"/>
  <c r="G113" i="10"/>
  <c r="F113" i="10"/>
  <c r="E113" i="10"/>
  <c r="G109" i="10"/>
  <c r="F109" i="10"/>
  <c r="E109" i="10"/>
  <c r="G107" i="10"/>
  <c r="F107" i="10"/>
  <c r="E107" i="10"/>
  <c r="G40" i="10"/>
  <c r="F40" i="10"/>
  <c r="E40" i="10"/>
  <c r="D40" i="10"/>
  <c r="G10" i="10"/>
  <c r="G278" i="10" s="1"/>
  <c r="F10" i="10"/>
  <c r="G279" i="10" l="1"/>
  <c r="G287" i="10"/>
  <c r="F281" i="10"/>
  <c r="H109" i="10"/>
  <c r="H145" i="10"/>
  <c r="H163" i="10"/>
  <c r="H107" i="10"/>
  <c r="H154" i="10"/>
  <c r="H117" i="10"/>
  <c r="H143" i="10"/>
  <c r="H40" i="10"/>
  <c r="H115" i="10"/>
  <c r="H140" i="10"/>
  <c r="H151" i="10"/>
  <c r="H113" i="10"/>
  <c r="H137" i="10"/>
  <c r="H148" i="10"/>
  <c r="H158" i="10"/>
  <c r="H134" i="10"/>
  <c r="H176" i="10"/>
  <c r="H160" i="10"/>
  <c r="H173" i="10"/>
  <c r="H10" i="10"/>
  <c r="H171" i="10"/>
  <c r="H167" i="10"/>
  <c r="E16" i="8"/>
  <c r="E34" i="8" s="1"/>
  <c r="F16" i="8"/>
  <c r="F34" i="8" s="1"/>
  <c r="D16" i="8"/>
  <c r="D34" i="8" s="1"/>
  <c r="L16" i="8" l="1"/>
  <c r="P17" i="8"/>
  <c r="F17" i="8"/>
  <c r="E17" i="8"/>
  <c r="R16" i="8"/>
  <c r="O16" i="8"/>
  <c r="O34" i="8" s="1"/>
  <c r="Q16" i="8"/>
  <c r="P16" i="8"/>
  <c r="E174" i="2"/>
  <c r="G171" i="2"/>
  <c r="F171" i="2"/>
  <c r="D171" i="2"/>
  <c r="G168" i="2"/>
  <c r="F168" i="2"/>
  <c r="G166" i="2"/>
  <c r="F166" i="2"/>
  <c r="G162" i="2"/>
  <c r="G213" i="2" s="1"/>
  <c r="G217" i="2" s="1"/>
  <c r="F162" i="2"/>
  <c r="G156" i="2"/>
  <c r="F156" i="2"/>
  <c r="E156" i="2"/>
  <c r="G154" i="2"/>
  <c r="F154" i="2"/>
  <c r="E154" i="2"/>
  <c r="G152" i="2"/>
  <c r="F152" i="2"/>
  <c r="E152" i="2"/>
  <c r="G150" i="2"/>
  <c r="F150" i="2"/>
  <c r="E150" i="2"/>
  <c r="G147" i="2"/>
  <c r="F147" i="2"/>
  <c r="E147" i="2"/>
  <c r="G144" i="2"/>
  <c r="F144" i="2"/>
  <c r="E144" i="2"/>
  <c r="G141" i="2"/>
  <c r="F141" i="2"/>
  <c r="E141" i="2"/>
  <c r="G139" i="2"/>
  <c r="F139" i="2"/>
  <c r="E139" i="2"/>
  <c r="G136" i="2"/>
  <c r="F136" i="2"/>
  <c r="E136" i="2"/>
  <c r="G133" i="2"/>
  <c r="F133" i="2"/>
  <c r="E133" i="2"/>
  <c r="G130" i="2"/>
  <c r="F130" i="2"/>
  <c r="E130" i="2"/>
  <c r="G113" i="2"/>
  <c r="F113" i="2"/>
  <c r="E113" i="2"/>
  <c r="G111" i="2"/>
  <c r="F111" i="2"/>
  <c r="E111" i="2"/>
  <c r="G109" i="2"/>
  <c r="F109" i="2"/>
  <c r="E109" i="2"/>
  <c r="G106" i="2"/>
  <c r="F106" i="2"/>
  <c r="E106" i="2"/>
  <c r="G104" i="2"/>
  <c r="F104" i="2"/>
  <c r="E104" i="2"/>
  <c r="G10" i="2"/>
  <c r="F10" i="2"/>
  <c r="E10" i="2"/>
  <c r="S16" i="8" l="1"/>
  <c r="H109" i="2"/>
  <c r="H130" i="2"/>
  <c r="H152" i="2"/>
  <c r="H141" i="2"/>
  <c r="Q17" i="8"/>
  <c r="H106" i="2"/>
  <c r="R17" i="8"/>
  <c r="H159" i="2"/>
  <c r="H104" i="2"/>
  <c r="H150" i="2"/>
  <c r="H113" i="2"/>
  <c r="H139" i="2"/>
  <c r="H162" i="2"/>
  <c r="H168" i="2"/>
  <c r="H10" i="2"/>
  <c r="H166" i="2"/>
  <c r="H111" i="2"/>
  <c r="H136" i="2"/>
  <c r="H147" i="2"/>
  <c r="H156" i="2"/>
  <c r="H133" i="2"/>
  <c r="H144" i="2"/>
  <c r="H154" i="2"/>
  <c r="H171" i="2"/>
  <c r="G17" i="8"/>
  <c r="O17" i="8" s="1"/>
  <c r="H39" i="2"/>
  <c r="S17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Балашов Сергей Владимирович</author>
  </authors>
  <commentList>
    <comment ref="D7" authorId="0" shapeId="0" xr:uid="{22AA871E-80A3-4B32-993B-70D1C014509D}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" authorId="0" shapeId="0" xr:uid="{7C54D232-FC4F-4BEF-9650-80647D5A533F}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Балашов Сергей Владимирович</author>
  </authors>
  <commentList>
    <comment ref="D7" authorId="0" shapeId="0" xr:uid="{00000000-0006-0000-0100-000001000000}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" authorId="0" shapeId="0" xr:uid="{00000000-0006-0000-0100-000002000000}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Балашов Сергей Владимирович</author>
    <author>Economist2</author>
  </authors>
  <commentList>
    <comment ref="D7" authorId="0" shapeId="0" xr:uid="{00000000-0006-0000-0200-000001000000}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" authorId="0" shapeId="0" xr:uid="{00000000-0006-0000-0200-000002000000}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217" authorId="1" shapeId="0" xr:uid="{B35E7B74-A42B-4066-AF9D-AB116B7D359B}">
      <text>
        <r>
          <rPr>
            <b/>
            <sz val="9"/>
            <color indexed="81"/>
            <rFont val="Tahoma"/>
            <family val="2"/>
            <charset val="204"/>
          </rPr>
          <t>Economist2:</t>
        </r>
        <r>
          <rPr>
            <sz val="9"/>
            <color indexed="81"/>
            <rFont val="Tahoma"/>
            <family val="2"/>
            <charset val="204"/>
          </rPr>
          <t xml:space="preserve">
в 2022 году умен.на 13125,81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Запрос — Г2020" description="Соединение с запросом &quot;Г2020&quot; в книге." type="5" refreshedVersion="5" background="1" saveData="1">
    <dbPr connection="provider=Microsoft.Mashup.OleDb.1;data source=$EmbeddedMashup(f4d4ecf2-08fe-4d07-bada-e5a737602420)$;location=Г2020;extended properties=&quot;UEsDBBQAAgAIAAuE81JhPGNxqwAAAPoAAAASABwAQ29uZmlnL1BhY2thZ2UueG1sIKIYACigFAAAAAAAAAAAAAAAAAAAAAAAAAAAAIWPQQ6CMBREr0K657eFYIR8ysKtJEajcdtAhUYohhbhbi48klfQRDHu3M1M5iUzj9sds6ltvKvqre5MSjgw4ilTdKU2VUoGd/KXJBO4kcVZVsp7lY1NJqtTUjt3SSgdxxHGELq+ogFjnB7z9a6oVSt9bayTplDkS5X/KSLw8B4jAohiiHgYQcA40jnGXJtZc4ggDOIFMKQ/Ma6Gxg29Ev3gb/dIZ4v080M8AVBLAwQUAAIACAALhPNS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C4TzUopQz+anCAAArDAAABMAHABGb3JtdWxhcy9TZWN0aW9uMS5tIKIYACigFAAAAAAAAAAAAAAAAAAAAAAAAAAAAO1abW/b1hX+bsD/4YIBBhJglch5GbAgAxovGQoUKWqnKwZDCGSLXoRKpEFRawJDgO2kXtZkS5E6W/ZS21kH7KviRLMq2/JfuPwL+yV77rkkRVIUKdFxm25O4MSiLs/rc55z7iUbxpJTtUw2L/8vXp2emp5q3C3bRoXxZ7zL3/CX7oa7xvd4m11jNcOZnmL4w1+46+4G77u/40dY1cN3N+4tGbXCbNO2DdP51LI/W7Ssz1RtdeFWuW5cU+LSlFJrYdYyHSwu6VLoOYW/4Pv8kHcgVPwcuY/5dwx6uvxYgYrb5cWaUbhtl83GsmXXZ61as27evr9iNNS4QfrqqsK/4X0hzV1TdOZgGXOMe05LZ/RVG8ukqr6wh27rMPwqzGwzIQ6W9nkXYjv8wH1CCoTlYWEtbXqqao5jfyS0X89cmLkgAzoqnopcpOhywS4k7rsPyJAN3nY3sIT/ExeOeM/dhJVP+TOoe+2u4do+7/H2UEw0WDpCGBm3wG42TcLBx03Dvn+9alaq5m+EKauKYtwz6iu1sn0TgW/WyiKpivIzRYlrVZSWwkrTU+m2ZWBJNSH+10bZZuUGxVlj136eFqws8G1RgkU+OhHg+Xl76SW7x7vIPOPH+NSNZfKQuQ9xkWJGiw8HmJw3aqigOevzBCQyo7x0l5ElJdzgu6YFyrf5K/dLqHmD5QN1HSbl8AN8vek+HiibteqLVdOQ8G+oKVWR3zMUyapSZO4D+rwnlrpPhspoJmvBxawFl7IWXM5acCVtAVYodvO9uU8UTU/0J8mFJKuTDE2ybdiclu7ly/YTdxuWXb//C6NWrVcdw1aVAm78uGk5xrxzH6m8ZZmGpofpS/MY0gPMFr54BUTvARshnlmH5oeUyZ67PpIvCRVjQo5QEKFRwrJwAGKr9RtmRb0DpwuKxn7CyI8wNQ7KC+WwJnjQi0w7otDHZ6icLNtRx3V0iOo/sisI9vuNJYMITBL+n0FzTwW7+3SOUuB9xv/Bd1jCPb7xi83lZcMODLtOH9V4Mxt4mruBjR8l8ndHfMTFp/zfUhM+iUVP2Dm1tqypsO7AfcoQty7REKz4AwWx50k6FsEiBLTBVF1NZ1T1lD6zWV80bBm3XXy/7n6BO964jxlkpbRGhLPvAasn+ooO193H7nqBEfO/KjAV6UTrYcjXFn+pJSn8O/xGWomk2kK40ClcOYSLvx/p6DP+N7jwV/oXOdVFkxO5Be3xHajChR660MZVug0LBcq7cL0TGO8+gtwH6CeB0F2+k2jjluiZiASE/+fhnxiW9/lryhkyKK5D8/DMsQWf2gh8Gxjp8yOPi+Fq369EpLMj/ES6ou7yLpmdJDPDkmPK3Bokv4mNLnQ/ATll2IllNIYi2N6hO/akWkZA2Yey7xKnJT/BuLdHxnlI7wvjzotrhA/E/jwpQAVAzkPy5ZA8Ja9iMiGUxpEhTdsD05H+toiDSHfMp+H7vhYGiVHQsyweBNzxgelcuVQQpRvlOTnjHOPvuFz3S9tqrqjp1KEPXIxS3QQ+juWWwr8NNy+qd5GlgGcwy8lKosXvYK2OXZyZLeEtFWyOGlWqFaUley/5/p5YGjRfQg1GzVmraTrqHS2Bn0Z2B1/Ih9WGU5hv1tWFc6fVS0pJhkW6SaIxp9tv4kaFavdb5PWAshJMGd4oBO82ZdZCs0hxUMHvVyqyk6uTUQCVG+R2ZOXIBWtJEaouy5lr3inbTuPTqnOXYjVggpKYUMUU5tw1TLYQjWLpvFg8dq1OTV6nU5PUaIkZtYaRYORoIJbyUGwxgWMnTrJ3WODHOVyVUW+j5fmB2TBsuR/EfHyB6atzxpJlV/wtgOp/vmlbdYF/lYpgzlgxyo6K7XZLpwuyxv1tn8CYaAMQqmmIfuJ1naXWtAhKUHB3UmNekqLeGeBELX+XLBOxGiKveKSjcPejO2b/DqB8s2pWBBeocmeiQ3AAz9LqhZaGn4WTHG+VSi2t5dOkI3SGWXKXmuEeEf4RtmEbsoxkPyB97gZLrI/Agxv3VsrwQfyehzaLxJvJFXg2Jf2fTUkBFPwRKX32GR5AMjtwKxlVheIZrs5wdRJcxc70EI7Y7g9s3Xcfwc9X0Q0jhoRaecm4YduW/atyrSkPj/ITsxxpJkDyN/y5GKi/4n9BcJ/jt22AioHCd2DFV8DXNv8Xrr6AtudKuHnEjvNk6EWE9iXfD1qR8FhkNaR81MCdGbhI3XpxotSQO4MDTRqu1XA71We03PuDEdaeMAQe1HwP0vYHo3wWW4VisFUYPCBI2FwJpsJ9QNMj4bT7RWgPqMgpflLNM+NpHpwEPXlbmi+Op/nYe2wlcrvHxAGXfIYlKCgymYCLc1pyaSxLUg7AvIhI4hLrxbJNgosq+FNQ+D5RHsHowP2jKHg5AoqHPcRERKcdz65AvSc7r/JdTz2II3gMckRKk3oZFQ27eFm2tHzBvDxeME/b5e/R4yvjebwpOV+axGis3vCBqyc7M44Dnu00LewhLo9AtyrNDTnd+WnInW0i03U6UAoQK5iW0ubvUCCpK4wQIkmobGd0hQ6hH9CFoePqbmgdtcYjsug1lHThQ2yC8P2BVUEzaSt5DiJmTn4QETuHiHWxH8epxMB8hOPOaExgAzvx3lhur30hJOJUdrHFt7aNnUndxka3r2fbj7Ptx1vefoglWc/+4hDLevgHgbup03brDNpn0P6fhDZAG36UJPwNvbIy+lWuOaNu/dYIvZhzgs6kp0wIKZWWnJMfNoA78oEiNdK+B6C+NxFmBdQSb/KEIpqZDD3OST8s96RXwzvJTLlK9MdOZz5cbaPRrDkBAEMzdh4gYyxHk0wcw2/RI+uGWoyO2HIYz6MreVjPJ2m4eIeeP2UVrngx1q9bGdShN/sUJEaZ8N2eiWgq4f2l7Dcq0t6gyPnyRPLbEqf9doTUml27uDv9bLsVvGo+KR4Gb9PH36O++l9QSwECLQAUAAIACAALhPNSYTxjcasAAAD6AAAAEgAAAAAAAAAAAAAAAAAAAAAAQ29uZmlnL1BhY2thZ2UueG1sUEsBAi0AFAACAAgAC4TzUg/K6aukAAAA6QAAABMAAAAAAAAAAAAAAAAA9wAAAFtDb250ZW50X1R5cGVzXS54bWxQSwECLQAUAAIACAALhPNSilDP5qcIAACsMAAAEwAAAAAAAAAAAAAAAADoAQAARm9ybXVsYXMvU2VjdGlvbjEubVBLBQYAAAAAAwADAMIAAADcCgAAAAA=&quot;" command="SELECT * FROM [Г2020]"/>
  </connection>
  <connection id="2" xr16:uid="{00000000-0015-0000-FFFF-FFFF01000000}" keepAlive="1" name="Запрос — НГ2020" description="Соединение с запросом &quot;НГ2020&quot; в книге." type="5" refreshedVersion="5" background="1" saveData="1">
    <dbPr connection="provider=Microsoft.Mashup.OleDb.1;data source=$EmbeddedMashup(f4d4ecf2-08fe-4d07-bada-e5a737602420)$;location=НГ2020;extended properties=&quot;UEsDBBQAAgAIAAuE81JhPGNxqwAAAPoAAAASABwAQ29uZmlnL1BhY2thZ2UueG1sIKIYACigFAAAAAAAAAAAAAAAAAAAAAAAAAAAAIWPQQ6CMBREr0K657eFYIR8ysKtJEajcdtAhUYohhbhbi48klfQRDHu3M1M5iUzj9sds6ltvKvqre5MSjgw4ilTdKU2VUoGd/KXJBO4kcVZVsp7lY1NJqtTUjt3SSgdxxHGELq+ogFjnB7z9a6oVSt9bayTplDkS5X/KSLw8B4jAohiiHgYQcA40jnGXJtZc4ggDOIFMKQ/Ma6Gxg29Ev3gb/dIZ4v080M8AVBLAwQUAAIACAALhPNS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C4TzUo0EvXyjCAAAsDAAABMAHABGb3JtdWxhcy9TZWN0aW9uMS5tIKIYACigFAAAAAAAAAAAAAAAAAAAAAAAAAAAAO1a/W7bVBT/v1Lf4cqTkC2ZbOk+kJiGxMqGJqEh2gFCVTSlzS2LSOzKcWBTFantRhlsMDQ6GB9rO0Di36xbaEjb9BWuX4En4Zxzbcd2HDtxVxjQTd0a59zzfX7n3Otb43N22TTYtPw/f3Z8bHysdq1o8RIT90VbPBOPnRVnSWyJJjvHKtweH2PwRzx0lp0V0XU+E3tA1YHvLlyf45XcZN2yuGG/b1ofzZrmR6q2OHO5WOXnlCg3pdCYmTQNG4gLumR6TBEPxbbYFS1gij97zh3xBwM5bbGvgIgrxdkKz12xikZt3rSqk2alXjWu3FjgNTWqkL64qIhHoovcnCVFZzaQMZtftxs6o6+aQCZFdVEfWtZi8Cuq2WTIDjTtijawbYkd5y4JQM2DzBra+FjZGEb/kGsfiW8mTkyckC4d5FHFI1N0SbIJXLedm6TMimg6K0AkfoUHe6LjrIKm98R9EPnUWYJn26Ijmn1+0UDbAcxIwRl2sW5QLrxT59aN82WjVDY+RGUWFYVf59WFStG6CM6vV4oYWEV5VVGiUhWlobDC+Fiybin5pBrA/gNetFixRr7W2LnXktyVloBrFGSMSSuUfF7sHrsB74g2RJ+JffjUjkRzlzm34CH5jIh3e3k5zStQRVPmJzHZyHhx7hojTQqwwDNN84WviyfOFyDmGZD3xLWY5CN24OtV505P2KRZnS0bXJZATU2ojOyWQaEsKnnm3KTPW0jq3O0rpYk0gpNpBKfSCE6nEZxJIgAKxaq/PPWuoumx9sSZEKd1nKJxuvWr09DdeFle4K6AZudvvMEr5WrZ5paq5GDhO3XT5tP2DQjlZdPgmh6EMM1FSTdh1uCLJ5DRW5AbAaxZBsm3KJIdZ3kgZlJWDJlylAUhKKVcRgOAbbl6wSipV8HonKKxlxjZEYTHXnlBOSwhFrqeaYYEevkZKCfTstVhDe2D+7etEjj79docJwCToP8dwNw9RHgP0qEURJeJn8UGi1njKT9bn5/nlq/YefqoRhtaz9LMTWx4L5G9G/gRHt4Tv0tJ8AmJ7rJjamVeU0G7HeceA7+1CYZAiy/JiR2X0z46izKgCUjV1nRGVU/hM+rVWW5Jv23C98vOp7DimXOHAa+E9gju7LqJ1cG+ooPpzh1nOccI+Z/kmArhhNaDTXBNPNbiBP4EdkNYCaSayBxloim7YOLnAw29L34EE36gfyGmOjY5jC3AntgAUfCgA11o5SwtA0LM8jaY3vKVd24D35vQT3ymm2IjVsc17JngCWD+561vGZB3xVOKGUQQn4Pk/rljDWxqguObkCNdsediMZja9SoRwtlCOyFcYXNFm9SO45miyT5Fbgk4P4uML7SeEjlh4IlENJJFoHuLVmxJsYwSZRuE/RE7MXkBhrUdUs7N9C4qdxyfUX6A74+TAKgA4HOLbNklS8mqCE9gSuNIn6T1nuoQ/ib6AcMdsal/3TeoEI6DrmZRJ8CKS4Z95lQOSzeMc3LG2Ye/w2Ldm5ZZX1CToUPvmRiGuhFsHMosRfwSbF5U7xglH2dglpOVRMQvYK0OXZypLeE5FWyGGlXKJaUhey/Z/jKS+s2XsgZGzUmzbtjqVS0GnwZ2B4/JW+WanZuuV9WZY4fVSwpxioW6Sawyh9tvokoFavcXiOsORcWfMtxRCKxblVELzCL5XgW/XirJTq6OBgFUbsC3JStHEizFeag8L2euabto2bX3y/Y18lUPCQo4oeIUZl/jBpsJe7FwHImHrtWx0et0bJQaLTBeqfEYJQcnYiELxOZjMHbkILsHBp6fg1UZtjZcnpeMGrfkfhDm4xNMX5zic6ZV8rYAqvf5omVWMf9VKoIpvsCLtgrb7YZOD2SNe9s+zDFsA8BU08D7sc91lljT6BS/4K4m+rwgWb0wiRPW/EXSDH3VB15RT4fT3fPukP3bT+WLZaOEWKDKnYkOjP30LCyeaGjwM3OQI65CoaE1PJi0UWYQJTepGW4R4O/BNmxFlpHsByTPWWGx9eFbcOH6QhFswN+zwGaecDO+Ao+mpP/ZlOSngjciJc8+/QNIagduxGdVLn+UV0d5dZC8ipzpgTsiuz9A665zG+x8Et4wwpBQKc7xC5ZlWu8VK3V5eJQdmOVIM0ImPxIPcKD+WnwPzn0Av61DUjGA8A3Q4mvIr3XxGzx9CNIeKMHmETnOk65HD21LvO+1IrQYoxoQPmjgTnVcqG5dP1FoyJzegSYN12qwneoTWub9wQBtD+gCN9U8C5L2B4Nsxq1C3t8q9F4QxGyuEKlgHWTTbTTa+TSwB1TkFD+q5InhJPdOgu4+L8knh5O87762wthuMTzgku+wEIJCkwlgcUZNTg2lScIBmOsRCVxIj2SrlC4q4idC+DZBHqXRjvMVFrwcAfFlDyERwWnL1csX7/LOKnzTFQ/A4b8G2SOhcb2MioadPC1bWjZnnh7OmYdt8t9o8ZnhLF6VmC9VYjRWr3iJq8cbM4wBru40LWyBX24D3Ko0N2Q055WAOesEpst0oORnLCIthc3boQCnNiqBLImpbGf0hA6hb9KDvuPqdoCOWuMeafQUhLTBhsgE4dkDWvnNpKlkOYiYOPhBROQcItLF/h2nEj31wR1XB+cEbGBH3hvL7bXHhFgcyi42/9y2sROJ29jw9vVo+3G0/XjO2w8kSXv3F02xtJd/wHAzcdpuHKX2UWr/J1Mbkjb4KgntDVxZGXyVa4pXzY954GLOATqTnjAhJFRafEz+WQduyBeK1Ei7bgJ13YkwzaEm3uQJeDQ1GHoUk/5Z7EmuhhcSmTKV6L8dzrx0tXitXrH9BAzM2FkSGcZyaJKxY/hlemVdU/PhEVsO41lkxQ/r2Tj1F2/f+6e0wsWLsV7dSqf23exTIDDKiHd7RoKpmPtL6Tcqkm5QZLw8EX9b4rBvR0ip6bULq5PPthv+VfNR86F3oz56j/rsX1BLAQItABQAAgAIAAuE81JhPGNxqwAAAPoAAAASAAAAAAAAAAAAAAAAAAAAAABDb25maWcvUGFja2FnZS54bWxQSwECLQAUAAIACAALhPNSD8rpq6QAAADpAAAAEwAAAAAAAAAAAAAAAAD3AAAAW0NvbnRlbnRfVHlwZXNdLnhtbFBLAQItABQAAgAIAAuE81KNBL18owgAALAwAAATAAAAAAAAAAAAAAAAAOgBAABGb3JtdWxhcy9TZWN0aW9uMS5tUEsFBgAAAAADAAMAwgAAANgKAAAAAA==&quot;" command="SELECT * FROM [НГ2020]"/>
  </connection>
</connections>
</file>

<file path=xl/sharedStrings.xml><?xml version="1.0" encoding="utf-8"?>
<sst xmlns="http://schemas.openxmlformats.org/spreadsheetml/2006/main" count="2388" uniqueCount="815">
  <si>
    <t>Приложение № 1  </t>
  </si>
  <si>
    <t>(для территорий, относящихся к территориям городских населенных пунктов)</t>
  </si>
  <si>
    <t>2019 год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</si>
  <si>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</si>
  <si>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</si>
  <si>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</si>
  <si>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</si>
  <si>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 xml:space="preserve">Протяженность (для линий электропередачи), метров/Количество пунктов секционирования, штук/Количество точек учета, штук
</t>
  </si>
  <si>
    <t>Максимальная мощность, кВт</t>
  </si>
  <si>
    <t xml:space="preserve">Расходы на строительство объекта/на обеспечение средствами коммерческого учета электрической энергии (мощности), тыс. руб.
</t>
  </si>
  <si>
    <t>удельные расходы 
( на 1 км  - для ВЛ и КЛ; на 1 шт.  - для РП; 
на  1 кВт - для ТП и РТП)</t>
  </si>
  <si>
    <t>Дата и № договора ТП</t>
  </si>
  <si>
    <t>Заявитель по ТП</t>
  </si>
  <si>
    <t>Диапазон присоединяемой мощности</t>
  </si>
  <si>
    <t>Дата и № договора подряда</t>
  </si>
  <si>
    <t>1.</t>
  </si>
  <si>
    <t>Строительство воздушных линий</t>
  </si>
  <si>
    <t>х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</si>
  <si>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</si>
  <si>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1.3.1.4.1.1.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</si>
  <si>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</si>
  <si>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1.3.1.4.2.1.</t>
  </si>
  <si>
    <t>Воздушные линии на железобетонных опорах изолированным алюминиевым проводом сечением от 100  до 200 квадратных мм включительно одноцепные</t>
  </si>
  <si>
    <t>1.3.1.4.3.1.</t>
  </si>
  <si>
    <t>2.</t>
  </si>
  <si>
    <t>Строительство кабельных линий</t>
  </si>
  <si>
    <t>0,23-0,4</t>
  </si>
  <si>
    <t>2.1.2.1.2.2.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</si>
  <si>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</si>
  <si>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2.1.2.1.3.2.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</si>
  <si>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</si>
  <si>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2.1.2.1.4.2.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</si>
  <si>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</si>
  <si>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2.1.2.2.2.2.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</si>
  <si>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</si>
  <si>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2.1.2.2.3.2.</t>
  </si>
  <si>
    <t>Кабельные линии в траншеях многожильные с бумажной изоляцией сечением провода от 100 до 200 квадратных мм включительно с двумя кабелями в траншее</t>
  </si>
  <si>
    <t>2.6.2.1.3.4.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</si>
  <si>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четырьмя трубами в скважине</t>
  </si>
  <si>
    <t>2.6.2.1.4.2.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</si>
  <si>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мм квадратных включительно с двумя трубами в скважине</t>
  </si>
  <si>
    <t>2.6.2.2.2.4.</t>
  </si>
  <si>
    <t>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четырьмя трубами в скважине</t>
  </si>
  <si>
    <t>2.6.2.2.3.4.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</si>
  <si>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четырьмя трубами в скважине</t>
  </si>
  <si>
    <t>4.</t>
  </si>
  <si>
    <t>4.1.1.3.2.</t>
  </si>
  <si>
    <t>Однотрансформаторные подстанции (за исключением РТП) мощностью от 100 до 250 кВА включительно шкафного или киоскового типа</t>
  </si>
  <si>
    <t>5.</t>
  </si>
  <si>
    <t>Строительство распределительных трансформаторных подстанций (РТП) с уровнем напряжения до 35 кВ</t>
  </si>
  <si>
    <t>7.</t>
  </si>
  <si>
    <t>Обеспечение средствами коммерческого учета электрической энергии (мощности)</t>
  </si>
  <si>
    <t>7.1.1.</t>
  </si>
  <si>
    <t>7.2.1.</t>
  </si>
  <si>
    <t>7.2.2.</t>
  </si>
  <si>
    <t>7.2.3.</t>
  </si>
  <si>
    <t>6</t>
  </si>
  <si>
    <t>2.1.2.2.4.4.</t>
  </si>
  <si>
    <t/>
  </si>
  <si>
    <t>2.1.2.2.4.2.</t>
  </si>
  <si>
    <t>2.6.2.2.4.4.</t>
  </si>
  <si>
    <t>2020 год</t>
  </si>
  <si>
    <t>Столбец1</t>
  </si>
  <si>
    <t>1.3.2.4.2.1.</t>
  </si>
  <si>
    <t>Воздушные линии на железобетонных опорах неизолированным алюминиевым проводом сечением от 50 до 100 квадратных мм включительно одноцепные</t>
  </si>
  <si>
    <t>2.1.2.1.2.4.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</si>
  <si>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четырьмя кабелями в траншее</t>
  </si>
  <si>
    <t>2.1.2.2.4.1.</t>
  </si>
  <si>
    <t xml:space="preserve">Кабельные линии в траншеях многожильные с бумажной изоляцией сечением провода  от 200 до 250 квадратных мм включительно  с одним кабелем в траншее
</t>
  </si>
  <si>
    <t>Кабельные линии в траншеях многожильные с бумажной изоляцией сечением провода от 200 до 250 мм квадратных мм включительно с двумя кабелями в траншее</t>
  </si>
  <si>
    <t>Кабельные линии в траншеях многожильные с бумажной изоляцией сечением провода от 200 до 250 мм квадратных мм включительно с четырьмя кабелями в траншее</t>
  </si>
  <si>
    <t>Кабельные линии, прокладываемые методом горизонтального наклонного бурения, многожильные с бумажной изоляцией сечением провода от 200 до 250 квадратных мм включительно с четырьмя трубами в скважине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</si>
  <si>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</si>
  <si>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6/0,4</t>
  </si>
  <si>
    <t>4.1.2.3.2.</t>
  </si>
  <si>
    <t>Двухтрансформаторные подстанции (за исключением РТП) мощностью от 100 до 250 кВА включительно шкафного или киоскового типа</t>
  </si>
  <si>
    <t>4.1.2.4.3.</t>
  </si>
  <si>
    <t>Двухтрансформаторные подстанции (за исключением РТП) мощностью от 250 до 400 кВА включительно блочного типа</t>
  </si>
  <si>
    <t>4.1.2.5.2.</t>
  </si>
  <si>
    <t>Двухтрансформаторные подстанции (за исключением РТП) мощностью от 400 до 1000 кВА включительно шкафного или киоскового типа</t>
  </si>
  <si>
    <t>5.1.2.5.</t>
  </si>
  <si>
    <t>Распределительные двухтрансформаторные подстанции мощностью от 400 до 1000 кВА включительно</t>
  </si>
  <si>
    <t>Средства коммерческого учета электрической энергии (мощности) трехфазные полукосвенного включения 0,4 кВ и ниже с ТТ</t>
  </si>
  <si>
    <t xml:space="preserve">Приложение № 2 </t>
  </si>
  <si>
    <t>ИПЦ 2020</t>
  </si>
  <si>
    <t>ИПЦ 2021</t>
  </si>
  <si>
    <t>ИПЦ 2022</t>
  </si>
  <si>
    <t>N п/п</t>
  </si>
  <si>
    <t>Наименование мероприятий</t>
  </si>
  <si>
    <t>Информация для расчета стандартизированной тарифной ставки С1</t>
  </si>
  <si>
    <t>Расчет ставки С1 (Стандарт. тариф. ставка) за 1 ТП, руб.</t>
  </si>
  <si>
    <t>Расходы по каждому мероприятию
(тыс. руб.)</t>
  </si>
  <si>
    <t>Количество технологических присоединений (шт.)</t>
  </si>
  <si>
    <t>Объем максимальной мощности (кВт)</t>
  </si>
  <si>
    <t>Расходы на одно присоединение 
(руб. на одно ТП)</t>
  </si>
  <si>
    <t>3.1.</t>
  </si>
  <si>
    <t>3.2.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</si>
  <si>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</si>
  <si>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</si>
  <si>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</si>
  <si>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</si>
  <si>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</si>
  <si>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</si>
  <si>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</si>
  <si>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</si>
  <si>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</si>
  <si>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</si>
  <si>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Стандарт. тариф. ставка</t>
  </si>
  <si>
    <t>СЕММ</t>
  </si>
  <si>
    <t>Подготовка и выдача сетевой организацией технических условий Заявителю</t>
  </si>
  <si>
    <t>-</t>
  </si>
  <si>
    <t>Проверка сетевой организацией выполнения Заявителем</t>
  </si>
  <si>
    <t>2.1.</t>
  </si>
  <si>
    <t>Выдача сетевой организацией акта об осуществлении технологического присоединения Заявителям, указанным в абзаце восьмом пункта 24 Методических указаний по определению размера платы за технологическое присоединение к электрическим сетям</t>
  </si>
  <si>
    <t>2.2.</t>
  </si>
  <si>
    <t>Проверка сетевой организацией выполнения технических условий Заявителями, указанными в абзаце девятом пункта 24 Методических указаний по определению размера платы за технологическое присоединение к электрическим сетям</t>
  </si>
  <si>
    <t>* для расчета ставки за 1 кВт</t>
  </si>
  <si>
    <t xml:space="preserve">Приложение № 3 </t>
  </si>
  <si>
    <t>Расчет</t>
  </si>
  <si>
    <t>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
(выполняется отдельно по мероприятиям, предусмотренным подпунктами «а» и «в» пункта 16 Методических указаний) 
для постоянной схемы электроснабжения и для временной схемы электроснабжения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</si>
  <si>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</si>
  <si>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</si>
  <si>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</si>
  <si>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</si>
  <si>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</si>
  <si>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</si>
  <si>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</si>
  <si>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</si>
  <si>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</si>
  <si>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</si>
  <si>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</si>
  <si>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</si>
  <si>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</si>
  <si>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</si>
  <si>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</si>
  <si>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</si>
  <si>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</si>
  <si>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</si>
  <si>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</si>
  <si>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</si>
  <si>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</si>
  <si>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</si>
  <si>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</si>
  <si>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</si>
  <si>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</si>
  <si>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</si>
  <si>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</si>
  <si>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</si>
  <si>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</si>
  <si>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</si>
  <si>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</si>
  <si>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</si>
  <si>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</si>
  <si>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</si>
  <si>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</si>
  <si>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</si>
  <si>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</si>
  <si>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</si>
  <si>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Расходы на выполнение мероприятий по технологическому присоединению, предусмотренным подпунктами «а» и «в» пункта 16 Методических указаний, за 2019-2021 гг. 
для постоянной схемы электроснабжения и для временной схемы электроснабжения</t>
  </si>
  <si>
    <t>2021 год</t>
  </si>
  <si>
    <t>Данные за предыдущий период регулирования (n-2) 
2021</t>
  </si>
  <si>
    <t>Данные за предыдущий период регулирования (n-3) 
2020</t>
  </si>
  <si>
    <t>Данные за предыдущий период регулирования (n-4) 
2019</t>
  </si>
  <si>
    <t>до 15 кВт (включительно)</t>
  </si>
  <si>
    <t>х/сп</t>
  </si>
  <si>
    <t>свыше 15 кВт до 150 кВт (включительно)</t>
  </si>
  <si>
    <t>** все категории потребителей</t>
  </si>
  <si>
    <t xml:space="preserve"> Генеральный директор</t>
  </si>
  <si>
    <t>А.А. Ухтин</t>
  </si>
  <si>
    <t>Строительство ВЛ-0,4 кВ от ТП-4т Инв. №-30674 протяженностью 150м по договору об осуществлении технологического присоединения №12Т-юр/20 от 13.07.2020</t>
  </si>
  <si>
    <t>13.07.2020  12Т-юр/20</t>
  </si>
  <si>
    <t>Территориальное общественное самоуправление "25-й Микрорайон"</t>
  </si>
  <si>
    <t>Строительство ВЛ-0,4 кВ от ТП-162 Инв. №-30670 протяженностью 50м по договору об осуществлении технологического присоединения №6Т/20 от 12.02.2020</t>
  </si>
  <si>
    <t>12.02.2020  6Т/20</t>
  </si>
  <si>
    <t>Паршаков Николай Юрьевич</t>
  </si>
  <si>
    <t>Строительство ВЛ-0,4 кВ от ТП-75 Инв. №-30675 протяженностью 160м по договору об осуществлении технологического присоединения №35ТУ от 23.07.2020</t>
  </si>
  <si>
    <t>23.07.2020  35ТУ</t>
  </si>
  <si>
    <t>ООО "Деловой союз"</t>
  </si>
  <si>
    <t>Строительство ВЛ-0,4 кВ от ТП-27а Инв. №-30673 протяженностью 50м по договору об осуществлении технологического присоединения №57Т/19 от 13.09.2019</t>
  </si>
  <si>
    <t>13.09.2019  57Т/19</t>
  </si>
  <si>
    <t>Голубев Дмитрий Игоревич</t>
  </si>
  <si>
    <t>до 15 кВт (включительно) (до150)</t>
  </si>
  <si>
    <t>Строительство ВЛЗ-6 кВ от ТП-27 Инв. №-30672 протяженностью 1000м по договору об осуществлении технологического присоединения №57Т/19 от 13.09.2019</t>
  </si>
  <si>
    <t>2020</t>
  </si>
  <si>
    <t>1000</t>
  </si>
  <si>
    <t>Строительство КЛ-6 кВ от ТП-27 до ВЛЗ-6 кВ ТП27а-ТП27 Инв. №-30671 протяженностью 20м по договору об осуществлении технологического присоединения №57Т/19 от 13.09.2019</t>
  </si>
  <si>
    <t>20</t>
  </si>
  <si>
    <t>Строительство оборудования КТП-С №27А на опоре №24 ул 2-ая Шуйская  Инв. №-47743 по договору об осуществлении технологического присоединения №57Т/19 от 13.09.2019</t>
  </si>
  <si>
    <t xml:space="preserve"> -</t>
  </si>
  <si>
    <t>7.1.</t>
  </si>
  <si>
    <t xml:space="preserve">однофазный </t>
  </si>
  <si>
    <t xml:space="preserve"> Монтаж комплекса АИСКУЭ №3, </t>
  </si>
  <si>
    <t>№ 37ТУ 24.07.2020.</t>
  </si>
  <si>
    <t>Орлов Сергей Александрович, ул. Виленская 16, Жилой дом</t>
  </si>
  <si>
    <t>7.1.2.</t>
  </si>
  <si>
    <t xml:space="preserve"> Монтаж комплекса АИСКУЭ №5, 58 ТУ</t>
  </si>
  <si>
    <t>№ 58ТУ 26.08.2020.</t>
  </si>
  <si>
    <t>АО "Кинешемский хлебокомбинат" ул. Маршала Василевского д.25 Нестационарный торговый объект</t>
  </si>
  <si>
    <t>7.1.3.</t>
  </si>
  <si>
    <t xml:space="preserve"> Монтаж комплекса АИСКУЭ №6, ТУ77</t>
  </si>
  <si>
    <t>№ 77ТУ 26.11.2020.</t>
  </si>
  <si>
    <t>МУ УГХ ул. Правды ул. Менделеева Светофорный объект</t>
  </si>
  <si>
    <t>7.1.4.</t>
  </si>
  <si>
    <t xml:space="preserve"> Монтаж комплекса АИСКУЭ №6, ТУ 53</t>
  </si>
  <si>
    <t>№ 53ТУ 24.08.2020.</t>
  </si>
  <si>
    <t>Шелевахо Ирина Юрьевна, ул. Пугачева д.40, Жилой дом</t>
  </si>
  <si>
    <t>7.2.</t>
  </si>
  <si>
    <t>трехфазный</t>
  </si>
  <si>
    <t>трехфазный прямого включения</t>
  </si>
  <si>
    <t>7.2.1.1.</t>
  </si>
  <si>
    <t xml:space="preserve"> Монтаж комплекса АИСКУЭ №3, 48ТУ /20</t>
  </si>
  <si>
    <t>№ 48ТУ 13.08.2020.</t>
  </si>
  <si>
    <t>Масленников Роман Вячеславович, ул. Орджоникидзе 61Б, Жилой дом</t>
  </si>
  <si>
    <t>7.2.1.2.</t>
  </si>
  <si>
    <t xml:space="preserve"> Монтаж комплекса АИСКУЭ №4, 23т/20</t>
  </si>
  <si>
    <t>№ 23Т/20 13.08.2020.</t>
  </si>
  <si>
    <t>Голубева Наталья Вениаминовна, ул. им. М. Горького д.1/1, Нежилое помещение</t>
  </si>
  <si>
    <t>7.2.1.3.</t>
  </si>
  <si>
    <t xml:space="preserve"> Монтаж комплекса АИСКУЭ №4, ТУ 47</t>
  </si>
  <si>
    <t>№ 47ТУ 14.08.2020.</t>
  </si>
  <si>
    <t>Гурбанов Ромазан Рамиз оглы, ул. Скрябина д.6, Жилой дом</t>
  </si>
  <si>
    <t>7.2.1.4.</t>
  </si>
  <si>
    <t xml:space="preserve"> Монтаж комплекса АИСКУЭ №4, ТУ39</t>
  </si>
  <si>
    <t>№ 39ТУ 24.07.2020.</t>
  </si>
  <si>
    <t>Воробьева Анастасия Александровна, ул. Сеченова 29, Жилой дом</t>
  </si>
  <si>
    <t>7.2.1.5.</t>
  </si>
  <si>
    <t xml:space="preserve"> Монтаж комплекса АИСКУЭ №4, 24т/20</t>
  </si>
  <si>
    <t>№ 24Т/20 13.08.2020.</t>
  </si>
  <si>
    <t>Чистякова Людмила Вячеславовна, ул. Комсомольская д.6 пом.1001, Нежилое помещение</t>
  </si>
  <si>
    <t>7.2.1.6.</t>
  </si>
  <si>
    <t xml:space="preserve"> Монтаж комплекса АИСКУЭ №5, 27т/20</t>
  </si>
  <si>
    <t>№ 27Т/20 31.08.2020.</t>
  </si>
  <si>
    <t>Русскова Лидия Геннадьевна, ул. Подгорная 33, Нежилое здание лаборатории</t>
  </si>
  <si>
    <t>7.2.1.7.</t>
  </si>
  <si>
    <t xml:space="preserve"> Монтаж комплекса АИСКУЭ №5, 22т/20</t>
  </si>
  <si>
    <t>№ 22Т/20 06.08.2020.</t>
  </si>
  <si>
    <t>Смирнов Юрий Валерьевич, ул. Ямская Набережная д.1а, Здание центра общения и досуговых занятий</t>
  </si>
  <si>
    <t>7.2.1.8.</t>
  </si>
  <si>
    <t xml:space="preserve"> Монтаж комплекса АИСКУЭ №6,  ТУ 41</t>
  </si>
  <si>
    <t>№ 41ТУ 31.07.2020.</t>
  </si>
  <si>
    <t>Голубева Галина Алексеевна, ул. 2-я Шуйская,д.3и, Нежилое здание</t>
  </si>
  <si>
    <t>7.2.1.9.</t>
  </si>
  <si>
    <t xml:space="preserve"> Монтаж комплекса АИСКУЭ №6, ТУ38</t>
  </si>
  <si>
    <t>№ 38ТУ 24.07.2020.</t>
  </si>
  <si>
    <t>Шкапурин Андрей Александрович, ул. Радищева 14, Жилой дом</t>
  </si>
  <si>
    <t>7.2.1.10.</t>
  </si>
  <si>
    <t xml:space="preserve"> Монтаж комплекса АИСКУЭ №4, 26т/20</t>
  </si>
  <si>
    <t>№ 26Т/20 20.08.2020.</t>
  </si>
  <si>
    <t>Ярославцев Александр Сергеевич, ул. Вичугская 164, Нежилое здание магазина</t>
  </si>
  <si>
    <t>7.2.1.11.</t>
  </si>
  <si>
    <t xml:space="preserve"> Монтаж комплекса АИСКУЭ №4, 25т/20</t>
  </si>
  <si>
    <t>№ 25Т/20 20.08.2020.</t>
  </si>
  <si>
    <t>Ярославцев Александр Сергеевич, ул. Гагарина 3Б пом 1002, Нежилое помещение</t>
  </si>
  <si>
    <t>7.2.1.12.</t>
  </si>
  <si>
    <t xml:space="preserve"> Монтаж комплекса АИСКУЭ №4, 21т/20</t>
  </si>
  <si>
    <t>№ 21Т/20 06.08.2020.</t>
  </si>
  <si>
    <t>Ярославцев Александр Сергеевич, ул. Котовского д.2, Здание-санчасть</t>
  </si>
  <si>
    <t>трехфазный полукосвенного  включения</t>
  </si>
  <si>
    <t>7.2.2.1.</t>
  </si>
  <si>
    <t xml:space="preserve"> Монтаж комплекса АИСКУЭ №1, 35 ТУ /20</t>
  </si>
  <si>
    <t>№ 35ТУ 23.07.2020.</t>
  </si>
  <si>
    <t>ООО "Деловой союз" ул. Плесская 8 Фитнес-центр</t>
  </si>
  <si>
    <t>7.2.2.2.</t>
  </si>
  <si>
    <t xml:space="preserve"> Монтаж комплекса АИСКУЭ №5, ТУ 78</t>
  </si>
  <si>
    <t>№ 78ТУ 26.11.2020.</t>
  </si>
  <si>
    <t>МУ УГХ Бульвар Волжский Щит ЩУО на наружной стене ТП-10 электроснабжение наружного освещения и силовых электроприемников</t>
  </si>
  <si>
    <t>трехфазный косвенного включения</t>
  </si>
  <si>
    <t>ПАО "МТС"</t>
  </si>
  <si>
    <t>67ТУ от 08.10.2020</t>
  </si>
  <si>
    <t>ООО "СТК Сирин"</t>
  </si>
  <si>
    <t>однофазный прямого включения</t>
  </si>
  <si>
    <t xml:space="preserve"> Монтаж комплекса АИСКУЭ №11,73ТУ /20 </t>
  </si>
  <si>
    <t>№ 73ТУ 09.11.2020.</t>
  </si>
  <si>
    <t>Чвакова В.Н., ул. Хохрякова д.13</t>
  </si>
  <si>
    <t xml:space="preserve"> Монтаж комплекса АИСКУЭ №9, 57ТУ /20</t>
  </si>
  <si>
    <t>№ 57ТУ 26.08.2020.</t>
  </si>
  <si>
    <t xml:space="preserve">Козлова Н.В., пр.6-й Почтовый </t>
  </si>
  <si>
    <t xml:space="preserve"> Монтаж комплекса АИСКУЭ №13, 46ТУ /21</t>
  </si>
  <si>
    <t>№ 46ТУ 02.07.2021.</t>
  </si>
  <si>
    <t>Талибов Халил Талыб оглы, пер. Бакунинский д.3, Жилой дом ТУ46 от 02.07.2021.</t>
  </si>
  <si>
    <t>7.1.5.</t>
  </si>
  <si>
    <t xml:space="preserve"> Монтаж комплекса АИСКУЭ №16, 82ТУ /21</t>
  </si>
  <si>
    <t>№ 82ТУ 14.10.2021.</t>
  </si>
  <si>
    <t>Гасанов Тагирмирза Багадинович, пер. Краснофлотский зем. уч-ок 20а, Жилой дом ТУ82 от 13.10.2021.</t>
  </si>
  <si>
    <t>7.1.6.</t>
  </si>
  <si>
    <t xml:space="preserve"> Монтаж комплекса АИСКУЭ №16, 17ТУ /21</t>
  </si>
  <si>
    <t>№ 17ТУ 20.04.2021.</t>
  </si>
  <si>
    <t>Малкова Ангелина Викторовна, ул. им. Губкина д.17, Жилой дом ТУ17 от 20.04.2021.</t>
  </si>
  <si>
    <t>7.1.7.</t>
  </si>
  <si>
    <t xml:space="preserve"> Монтаж комплекса АИСКУЭ №18, 43ТУ /21</t>
  </si>
  <si>
    <t>№ 43ТУ 30.06.2021.</t>
  </si>
  <si>
    <t>Филина Юлия Вадимовна, ул. Грудчихинская кад. ном. 37:25:030259:20, Жилой дом ТУ43 от 30.06.2021.</t>
  </si>
  <si>
    <t>7.1.8.</t>
  </si>
  <si>
    <t xml:space="preserve"> Монтаж комплекса АИСКУЭ №18, 42ТУ /21</t>
  </si>
  <si>
    <t>№ 42ТУ 24.06.2021.</t>
  </si>
  <si>
    <t>ООО "Стиллер" ул. Лесозаводская д.19 Административное/офисное здание ТУ42 от 24.06.2021.</t>
  </si>
  <si>
    <t xml:space="preserve"> Монтаж комплекса АИСКУЭ №, 44ТУ /20</t>
  </si>
  <si>
    <t>№ 44ТУ 12.08.2020.</t>
  </si>
  <si>
    <t>Николаева Т.А., ул. Подгорная 68</t>
  </si>
  <si>
    <t xml:space="preserve"> Монтаж комплекса АИСКУЭ №, 70ТУ /20</t>
  </si>
  <si>
    <t>№ 70ТУ 26.10.2020.</t>
  </si>
  <si>
    <t xml:space="preserve"> Монтаж комплекса АИСКУЭ №, 36ТУ /20</t>
  </si>
  <si>
    <t>№ 36ТУ 23.07.2020.</t>
  </si>
  <si>
    <t>ИП Золотарев Т.В.,ул. Грузинская 1</t>
  </si>
  <si>
    <t xml:space="preserve"> Монтаж комплекса АИСКУЭ №, 40ТУ /20</t>
  </si>
  <si>
    <t>№ 40ТУ 24.07.2020.</t>
  </si>
  <si>
    <t>Агафичева И.Ф., ул.Аккуратова 10</t>
  </si>
  <si>
    <t xml:space="preserve"> Монтаж комплекса АИСКУЭ №9, 28Т /20</t>
  </si>
  <si>
    <t>№ 28Т 06.10.2020.</t>
  </si>
  <si>
    <t>Григорян С.С.,ул. М. Горького д.16</t>
  </si>
  <si>
    <t xml:space="preserve"> Монтаж комплекса АИСКУЭ №9, 59ТУ /20</t>
  </si>
  <si>
    <t>№ 59ТУ 31.08.2020.</t>
  </si>
  <si>
    <t>Кончак М.А. ул. Пролетарская д.18</t>
  </si>
  <si>
    <t xml:space="preserve"> Монтаж комплекса АИСКУЭ №9, 52ТУ /20</t>
  </si>
  <si>
    <t>№ 52ТУ 19.08.2020.</t>
  </si>
  <si>
    <t>Зимина И.В., ул. Пригородная д. 59</t>
  </si>
  <si>
    <t xml:space="preserve"> Монтаж комплекса АИСКУЭ №9, 69ТУ /20</t>
  </si>
  <si>
    <t>№ 69ТУ 21.10.2020.</t>
  </si>
  <si>
    <t>ИП Паршаков Н.Ю., ул. 50-л.Комсомола д.25а</t>
  </si>
  <si>
    <t xml:space="preserve"> Монтаж комплекса АИСКУЭ №9, 65ТУ /20</t>
  </si>
  <si>
    <t>№ 65ТУ 29.09.2020.</t>
  </si>
  <si>
    <t>Додонова Е.Д., ул. Сеченова д.53</t>
  </si>
  <si>
    <t xml:space="preserve"> Монтаж комплекса АИСКУЭ №9, 64ТУ /20</t>
  </si>
  <si>
    <t>Дьяков Р.С. Ул. А.Барбюса д.1</t>
  </si>
  <si>
    <t xml:space="preserve"> Монтаж комплекса АИСКУЭ №9, 51ТУ /20</t>
  </si>
  <si>
    <t>№ 51ТУ 19.08.2020.</t>
  </si>
  <si>
    <t>Баранова Л.А., ул. Красина д.93</t>
  </si>
  <si>
    <t xml:space="preserve"> Монтаж комплекса АИСКУЭ №9, 45ТУ /20</t>
  </si>
  <si>
    <t>№ 45ТУ 12.08.2020.</t>
  </si>
  <si>
    <t>Кудряшоев А.Н., ул. Вичугская д.71</t>
  </si>
  <si>
    <t>7.2.1.13.</t>
  </si>
  <si>
    <t xml:space="preserve"> Монтаж комплекса АИСКУЭ №9, 46ТУ /20</t>
  </si>
  <si>
    <t>№ 61ТУ 01.09.2020.</t>
  </si>
  <si>
    <t>ООО "АМТ" 6-й Свободный пр-д врайоне дома 24</t>
  </si>
  <si>
    <t>7.2.1.14.</t>
  </si>
  <si>
    <t xml:space="preserve"> Монтаж комплекса АИСКУЭ №9, 61ТУ /20</t>
  </si>
  <si>
    <t>Зимина И.В., ул. Дзержинского д. 25</t>
  </si>
  <si>
    <t>7.2.1.15.</t>
  </si>
  <si>
    <t xml:space="preserve"> Монтаж комплекса АИСКУЭ №9, 62ТУ /20</t>
  </si>
  <si>
    <t>№ 62ТУ 03.09.2020.</t>
  </si>
  <si>
    <t>Лобазова Анна Николаевна, ул. Софьи Перовской д.16, Жилой дом</t>
  </si>
  <si>
    <t>7.2.1.16.</t>
  </si>
  <si>
    <t xml:space="preserve"> Монтаж комплекса АИСКУЭ №9, 63ТУ /20</t>
  </si>
  <si>
    <t>№ 63ТУ 14.09.2020.</t>
  </si>
  <si>
    <t>Меньщикова Ирина Витальевна, 6-й Почтовый проезд уч.9, Жилой дом</t>
  </si>
  <si>
    <t>7.2.1.17.</t>
  </si>
  <si>
    <t xml:space="preserve"> Монтаж комплекса АИСКУЭ №10, 74ТУ /20</t>
  </si>
  <si>
    <t>№ 74ТУ 12.11.2020.</t>
  </si>
  <si>
    <t>Голубев Алексей Николаевич, ул. Чистая д.56, Жилой дом</t>
  </si>
  <si>
    <t>7.2.1.18.</t>
  </si>
  <si>
    <t xml:space="preserve"> Монтаж комплекса АИСКУЭ №10, 82ТУ /20</t>
  </si>
  <si>
    <t>№ 82ТУ 26.11.2020.</t>
  </si>
  <si>
    <t>Панфилов Олег Александрович, ул. С . Стальского д.6, Жилой дом</t>
  </si>
  <si>
    <t>7.2.1.19.</t>
  </si>
  <si>
    <t xml:space="preserve"> Монтаж комплекса АИСКУЭ №11, 85ТУ /20</t>
  </si>
  <si>
    <t>№ 85ТУ 14.12.2020.</t>
  </si>
  <si>
    <t>Зорова Ирина Ананьевна, ул. Пирогова д.135, Жилой дом</t>
  </si>
  <si>
    <t>7.2.1.20.</t>
  </si>
  <si>
    <t xml:space="preserve"> Монтаж комплекса АИСКУЭ №11, 80ТУ /20</t>
  </si>
  <si>
    <t>№ 80ТУ 26.11.2020.</t>
  </si>
  <si>
    <t>МКУ ГУС ул. Хользунова ул. Саврасова Уличное освещение</t>
  </si>
  <si>
    <t>7.2.1.21.</t>
  </si>
  <si>
    <t xml:space="preserve"> Монтаж комплекса АИСКУЭ №11, 79ТУ /20</t>
  </si>
  <si>
    <t>№ 79ТУ 26.11.2020.</t>
  </si>
  <si>
    <t>МКУ ГУС ул. Сеченова Уличное освещение</t>
  </si>
  <si>
    <t>7.2.1.22.</t>
  </si>
  <si>
    <t xml:space="preserve"> Монтаж комплекса АИСКУЭ №11, 75ТУ /20</t>
  </si>
  <si>
    <t>№ 75ТУ 20.11.2020.</t>
  </si>
  <si>
    <t>Мосягина Ирина Юрьевна, ул. Георгия Дудникова д.19, Жилой дом</t>
  </si>
  <si>
    <t>7.2.1.23.</t>
  </si>
  <si>
    <t xml:space="preserve"> Монтаж комплекса АИСКУЭ №11, 76ТУ /20</t>
  </si>
  <si>
    <t>№ 76ТУ 20.11.2020.</t>
  </si>
  <si>
    <t>Малышева Ирина Станиславовна, ул. им. Павлова д.36, Жилой дом</t>
  </si>
  <si>
    <t>7.2.1.24.</t>
  </si>
  <si>
    <t xml:space="preserve"> Монтаж комплекса АИСКУЭ №11, 81ТУ /20</t>
  </si>
  <si>
    <t>№ 83ТУ 09.12.2020.</t>
  </si>
  <si>
    <t>Чиботару Марчела Михайловна, ул. Пугачева д.44, Жилой дом кв.2</t>
  </si>
  <si>
    <t>7.2.1.25.</t>
  </si>
  <si>
    <t xml:space="preserve"> Монтаж комплекса АИСКУЭ №12, 83ТУ /20</t>
  </si>
  <si>
    <t>№ 83ТУ 20.11.2020.</t>
  </si>
  <si>
    <t>Вежливцева Светлана Павловна, ул. им. Кутузова д.63, Жилой дом</t>
  </si>
  <si>
    <t>7.2.1.26.</t>
  </si>
  <si>
    <t xml:space="preserve"> Монтаж комплекса АИСКУЭ №12, 84ТУ /20</t>
  </si>
  <si>
    <t>№ 84ТУ 09.12.2020.</t>
  </si>
  <si>
    <t>Курочкина Татьяна Павловна, пер. Сельцовский д.24, Жилой дом</t>
  </si>
  <si>
    <t>7.2.1.27.</t>
  </si>
  <si>
    <t xml:space="preserve"> Монтаж комплекса АИСКУЭ №12, 16ТУ /21</t>
  </si>
  <si>
    <t>№ 16ТУ 15.04.2021.</t>
  </si>
  <si>
    <t>Соловьев Александр Артурович, 6-й Почтовый проезд, Гараж ТУ16 от 15.04.2021.</t>
  </si>
  <si>
    <t>7.2.1.28.</t>
  </si>
  <si>
    <t xml:space="preserve"> Монтаж комплекса АИСКУЭ №12, 28ТУ /21</t>
  </si>
  <si>
    <t>№ 28ТУ 17.05.2021.</t>
  </si>
  <si>
    <t>Индивидуальный предприниматель Федосов Эдуард Александрович ул. 50-летия Комсомола 24А Нежилое здание бани ТУ28 от 17.05.2021.</t>
  </si>
  <si>
    <t>7.2.1.29.</t>
  </si>
  <si>
    <t xml:space="preserve"> Монтаж комплекса АИСКУЭ №12, 05ТУ /21</t>
  </si>
  <si>
    <t>№ 05ТУ 03.02.2021.</t>
  </si>
  <si>
    <t>Туча Александр Михайлович, ул. Юрьевецкая 18, Жилой дом ТУ5 от 03.02.2021.</t>
  </si>
  <si>
    <t>7.2.1.30.</t>
  </si>
  <si>
    <t xml:space="preserve"> Монтаж комплекса АИСКУЭ №13, 40ТУ /21</t>
  </si>
  <si>
    <t>№ 40ТУ 22.06.2021.</t>
  </si>
  <si>
    <t>Любимова Евгения Николаевна, ул. Грузинская д.21/9, Жилой дом ТУ40 от 22.06.2021.</t>
  </si>
  <si>
    <t>7.2.1.31.</t>
  </si>
  <si>
    <t xml:space="preserve"> Монтаж комплекса АИСКУЭ №13, 04ТУ /21</t>
  </si>
  <si>
    <t>№ 04ТУ 25.01.2021.</t>
  </si>
  <si>
    <t>ПАО "МТС" ул. Елены Павловской Базовая станция / оборудование сотовой связи ТУ4 от 25.01.2021.</t>
  </si>
  <si>
    <t>7.2.1.32.</t>
  </si>
  <si>
    <t xml:space="preserve"> Монтаж комплекса АИСКУЭ №13, 08ТУ /21</t>
  </si>
  <si>
    <t>№ 08ТУ 04.02.2021.</t>
  </si>
  <si>
    <t>ООО "Т2 Мобайл" ул. Коммунальная кад. ном. 37:25:010436:148 Базовая станция сотовой связи  БС 000563 ТУ8 от 04.02.2021.</t>
  </si>
  <si>
    <t>7.2.1.33.</t>
  </si>
  <si>
    <t xml:space="preserve"> Монтаж комплекса АИСКУЭ №13, 07ТУ /21</t>
  </si>
  <si>
    <t>№ 07ТУ 04.02.2021.</t>
  </si>
  <si>
    <t>Индивидуальный предприниматель Лебедев Дмитрий Валерьевич ул. Спортивная кад ном. 37:25:030107:318 Нежилое помещение ТУ7 от 04.02.2021.</t>
  </si>
  <si>
    <t>7.2.1.34.</t>
  </si>
  <si>
    <t xml:space="preserve"> Монтаж комплекса АИСКУЭ №14, 23ТУ /21</t>
  </si>
  <si>
    <t>№ 23ТУ 12.05.2021.</t>
  </si>
  <si>
    <t>Ваганова Антонина Константиновна, ул. Нижняя д.10, Жилой дом ТУ23 от 12.05.2021.</t>
  </si>
  <si>
    <t>7.2.1.35.</t>
  </si>
  <si>
    <t xml:space="preserve"> Монтаж комплекса АИСКУЭ №14, 52ТУ /21</t>
  </si>
  <si>
    <t>№ 52ТУ 20.07.2021.</t>
  </si>
  <si>
    <t>Пахалуева Марина Львовна, ул. П. Осипенко д.114, Жилой дом ТУ52 от 20.07.2021.</t>
  </si>
  <si>
    <t>7.2.1.36.</t>
  </si>
  <si>
    <t xml:space="preserve"> Монтаж комплекса АИСКУЭ №14, 11ТУ /21</t>
  </si>
  <si>
    <t>№ 11ТУ 11.03.2021.</t>
  </si>
  <si>
    <t>Шибанов Алексей Владимирович, ул. 1 Мая д.5, Жилой дом ТУ11 от 11.03.2021.</t>
  </si>
  <si>
    <t>7.2.1.37.</t>
  </si>
  <si>
    <t xml:space="preserve"> Монтаж комплекса АИСКУЭ №14, 10ТУ /21</t>
  </si>
  <si>
    <t>№ 10ТУ 01.03.2021.</t>
  </si>
  <si>
    <t>Жигулин Андрей Евгеньевич, ул. Пригородная д.57, Жилой дом ТУ10 от 00.01.1900.</t>
  </si>
  <si>
    <t>7.2.1.38.</t>
  </si>
  <si>
    <t xml:space="preserve"> Монтаж комплекса АИСКУЭ №14, 09ТУ /21</t>
  </si>
  <si>
    <t>№ 09ТУ 05.02.2021.</t>
  </si>
  <si>
    <t>Индивидуальный предприниматель Горбунов Валерий Яковлевич ул. Воеводы Боборыкина д.20 Нежилое помещение №5 ТУ9 от 05.02.2021.</t>
  </si>
  <si>
    <t>7.2.1.39.</t>
  </si>
  <si>
    <t xml:space="preserve"> Монтаж комплекса АИСКУЭ №14, 53ТУ /21</t>
  </si>
  <si>
    <t>№ 53ТУ 30.07.2021.</t>
  </si>
  <si>
    <t>Грачев Игорь Витальевич, ул. им. Свердлова д.10, Жилой дом ТУ53 от 30.07.2021.</t>
  </si>
  <si>
    <t>7.2.1.40.</t>
  </si>
  <si>
    <t xml:space="preserve"> Монтаж комплекса АИСКУЭ №14, 06ТУ /21</t>
  </si>
  <si>
    <t>№ 06ТУ 03.02.2021.</t>
  </si>
  <si>
    <t>Мальцева Ирина Юрьевна, ул. Российская/Коллективная д. №6, Жилой дом ТУ6 от 03.02.2021.</t>
  </si>
  <si>
    <t>7.2.1.41.</t>
  </si>
  <si>
    <t xml:space="preserve"> Монтаж комплекса АИСКУЭ №15, 12ТУ /21</t>
  </si>
  <si>
    <t>№ 12ТУ 16.03.2021.</t>
  </si>
  <si>
    <t>Наумец Олег Сергеевич, ул. Бабушкина 14, Жилой дом ТУ12 от 16.03.2021.</t>
  </si>
  <si>
    <t>7.2.1.42.</t>
  </si>
  <si>
    <t xml:space="preserve"> Монтаж комплекса АИСКУЭ №15, 2Т /21</t>
  </si>
  <si>
    <t>№ 2Т 23.03.2021.</t>
  </si>
  <si>
    <t>Карнаухов Павел Александрович, ул. 50-летия Комсомола д.12, Нежилое помещение ТУ13 от 24.03.2021.</t>
  </si>
  <si>
    <t>7.2.1.43.</t>
  </si>
  <si>
    <t xml:space="preserve"> Монтаж комплекса АИСКУЭ №15, 14ТУ /21</t>
  </si>
  <si>
    <t>№ 14ТУ 01.04.2021.</t>
  </si>
  <si>
    <t>Касаткин Иван Львович, ул.Виленская,д.14/38, Жилой дом ТУ14 от 01.04.2021.</t>
  </si>
  <si>
    <t>7.2.1.44.</t>
  </si>
  <si>
    <t xml:space="preserve"> Монтаж комплекса АИСКУЭ №15, 57ТУ /21</t>
  </si>
  <si>
    <t>№ 57ТУ 11.08.2021.</t>
  </si>
  <si>
    <t>Ванин Сергей Анатольевич, ул. Волочаевкая 1/13, Жилой дом ТУ57 от 11.08.2021.</t>
  </si>
  <si>
    <t>7.2.1.45.</t>
  </si>
  <si>
    <t xml:space="preserve"> Монтаж комплекса АИСКУЭ №15, 55ТУ /21</t>
  </si>
  <si>
    <t>№ 55ТУ 03.08.2021.</t>
  </si>
  <si>
    <t>Муравьев И.В., ул. Текстильная 2 стр. 1</t>
  </si>
  <si>
    <t>7.2.1.46.</t>
  </si>
  <si>
    <t xml:space="preserve"> Монтаж комплекса АИСКУЭ №16, 33ТУ /21</t>
  </si>
  <si>
    <t>№ 33ТУ 25.05.2021.</t>
  </si>
  <si>
    <t>Индивидуальный предприниматель Романов Роман Владимирович пл. Революции д.1/5 пом 1005 Нежилое помещение в мнгоквартирном доме ТУ33 от 25.05.2021.</t>
  </si>
  <si>
    <t>7.2.1.47.</t>
  </si>
  <si>
    <t xml:space="preserve"> Монтаж комплекса АИСКУЭ №16, 21ТУ /21</t>
  </si>
  <si>
    <t>№ 21ТУ 28.04.2021.</t>
  </si>
  <si>
    <t>ПАО "ВымпелКом" ул. Текстильная АМС АО "ПБК" в 40 м северовосточнее дома 2 Базовая станция / оборудование сотовой связи ТУ21 от 28.04.2021.</t>
  </si>
  <si>
    <t>7.2.1.48.</t>
  </si>
  <si>
    <t xml:space="preserve"> Монтаж комплекса АИСКУЭ №16, 4Т /21</t>
  </si>
  <si>
    <t>№ 04ТУ 23.10.2021.</t>
  </si>
  <si>
    <t>Бачериков Сергей Валентинович, ул. Воеводы Боборыкина д.20 пом.9, Нежилое помещение ТУ20 от 20.04.2021.</t>
  </si>
  <si>
    <t>7.2.1.49.</t>
  </si>
  <si>
    <t xml:space="preserve"> Монтаж комплекса АИСКУЭ №16, 18ТУ /21</t>
  </si>
  <si>
    <t>№ 18ТУ 21.04.2021.</t>
  </si>
  <si>
    <t>Пронина Ольга Владимировна, ул. Баха, Гараж ТУ18 от 21.04.2021.</t>
  </si>
  <si>
    <t>7.2.1.50.</t>
  </si>
  <si>
    <t xml:space="preserve"> Монтаж комплекса АИСКУЭ №16, 19ТУ /21</t>
  </si>
  <si>
    <t>№ 19ТУ 22.04.2021.</t>
  </si>
  <si>
    <t>Карнаухова Татьяна Владимировна, ул. 50-летия Комсомола д. 6 пом.1002, Нежилое помещение ТУ19 от 26.03.2021.</t>
  </si>
  <si>
    <t>7.2.1.51.</t>
  </si>
  <si>
    <t xml:space="preserve"> Монтаж комплекса АИСКУЭ №16, 25ТУ /21</t>
  </si>
  <si>
    <t>№ 25ТУ 17.05.2021.</t>
  </si>
  <si>
    <t>Клопов Сергей Владимирович, ул. Орджоникидзе 67а, Жилой дом ТУ25 от 17.05.2021.</t>
  </si>
  <si>
    <t>7.2.1.52.</t>
  </si>
  <si>
    <t xml:space="preserve"> Монтаж комплекса АИСКУЭ №16, 22ТУ /21</t>
  </si>
  <si>
    <t>№ 22ТУ 12.05.2021.</t>
  </si>
  <si>
    <t>Степанычева Евгения Сергеевна, ул. им. Виктора Порохова д.2, Жилой дом ТУ22 от 12.05.2021.</t>
  </si>
  <si>
    <t>7.2.1.53.</t>
  </si>
  <si>
    <t xml:space="preserve"> Монтаж комплекса АИСКУЭ №16, 31ТУ /21</t>
  </si>
  <si>
    <t>№ 31ТУ 25.05.2021.</t>
  </si>
  <si>
    <t>Охин Александр Михайлович, ул. Красноветкинская земельный участок №16, Гараж ТУ31 от 25.05.2021.</t>
  </si>
  <si>
    <t>7.2.1.54.</t>
  </si>
  <si>
    <t xml:space="preserve"> Монтаж комплекса АИСКУЭ №17, 32ТУ /21</t>
  </si>
  <si>
    <t>№ 32ТУ 25.05.2021.</t>
  </si>
  <si>
    <t>Гаджиева Сабина Бахадур Кызы, ул. Орджоникидзе 75, Жилой дом ТУ32 от 25.05.2021.</t>
  </si>
  <si>
    <t>7.2.1.55.</t>
  </si>
  <si>
    <t xml:space="preserve"> Монтаж комплекса АИСКУЭ №17, 26ТУ /21</t>
  </si>
  <si>
    <t>№ 26ТУ 17.05.2021.</t>
  </si>
  <si>
    <t>Индивидуальный предприниматель Карнаухов Павел Александрович ул. 50-летия Комсомола д.12 пом 1005 Нежилое помещение в мнгоквартирном доме ТУ26 от 17.05.2021.</t>
  </si>
  <si>
    <t>7.2.1.56.</t>
  </si>
  <si>
    <t xml:space="preserve"> Монтаж комплекса АИСКУЭ №17, 27ТУ /21</t>
  </si>
  <si>
    <t>№ 27ТУ 17.05.2021.</t>
  </si>
  <si>
    <t>Махова Татьяна Викторовна, ул. Володарского д.29/54, Жилой дом ТУ27 от 17.05.2021.</t>
  </si>
  <si>
    <t>7.2.1.57.</t>
  </si>
  <si>
    <t xml:space="preserve"> Монтаж комплекса АИСКУЭ №18, 41ТУ /21</t>
  </si>
  <si>
    <t>№ 41ТУ 22.06.2021.</t>
  </si>
  <si>
    <t>ООО "Транзит" ул. Юрьевецкая д.132А КЛ-0,4 кВ от ТП-37 до нежилого одноэтажного строения АЗС ТУ41 от 22.06.2021.</t>
  </si>
  <si>
    <t>7.2.1.58.</t>
  </si>
  <si>
    <t xml:space="preserve"> Монтаж комплекса АИСКУЭ №18, 44ТУ /21</t>
  </si>
  <si>
    <t>№ 44ТУ 30.06.2021.</t>
  </si>
  <si>
    <t>Тихомиров Лев Владимирович, ул. Правды д.48, Жилой дом ТУ44 от 30.06.2021.</t>
  </si>
  <si>
    <t>7.2.1.59.</t>
  </si>
  <si>
    <t xml:space="preserve"> Монтаж комплекса АИСКУЭ №18, 39ТУ /21</t>
  </si>
  <si>
    <t>№ 39ТУ 17.06.2021.</t>
  </si>
  <si>
    <t>Глебенко Владимир Николаевич, ул. Российская/Коллективная уч.4, Жилой дом ТУ39 от 17.06.2021.</t>
  </si>
  <si>
    <t>7.2.1.60.</t>
  </si>
  <si>
    <t xml:space="preserve"> Монтаж комплекса АИСКУЭ №18, 84ТУ /21</t>
  </si>
  <si>
    <t>№ 84ТУ 15.10.2021.</t>
  </si>
  <si>
    <t>Индивидуальный предприниматель Ярославцева Наталья Сергеевна ул. Правды 10а Нежилое помещение площадью 50 квадратных метров ТУ84 от 15.10.2021.</t>
  </si>
  <si>
    <t>7.2.1.61.</t>
  </si>
  <si>
    <t xml:space="preserve"> Монтаж комплекса АИСКУЭ №18, 36ТУ /21</t>
  </si>
  <si>
    <t>№ 36ТУ 02.06.2021.</t>
  </si>
  <si>
    <t>Борисова Татьяна Николаевна, ул. Загородная кад. ном. 37:25:040367:3, Жилой дом ТУ36 от 02.06.2021.</t>
  </si>
  <si>
    <t>7.2.1.62.</t>
  </si>
  <si>
    <t xml:space="preserve"> Монтаж комплекса АИСКУЭ №18, 38ТУ /21</t>
  </si>
  <si>
    <t>№ 38ТУ 09.06.2021.</t>
  </si>
  <si>
    <t>ООО "Т2 Мобайл" ул. Василия Панфилова д.13 Базовая станция/оборудование сотовой связи ТУ38 от 09.06.2021.</t>
  </si>
  <si>
    <t>7.2.1.63.</t>
  </si>
  <si>
    <t xml:space="preserve"> Монтаж комплекса АИСКУЭ №18, 37ТУ /21</t>
  </si>
  <si>
    <t>№ 37ТУ 08.06.2021.</t>
  </si>
  <si>
    <t>ООО "Т2 Мобайл" ул. Аристарха Макарова д.52Б Базовая станция/оборудование сотовой связи ТУ37 от 08.06.2021.</t>
  </si>
  <si>
    <t>7.2.1.64.</t>
  </si>
  <si>
    <t xml:space="preserve"> Монтаж комплекса АИСКУЭ №18, 60ТУ /21</t>
  </si>
  <si>
    <t>№ 60ТУ 24.08.2021.</t>
  </si>
  <si>
    <t>Борисова Ольга Геннадьевна, ул. Юрьевецкая д.76, Жилой дом ТУ60 от 24.08.2021.</t>
  </si>
  <si>
    <t>7.2.1.65.</t>
  </si>
  <si>
    <t xml:space="preserve"> Монтаж комплекса АИСКУЭ №18, 102ТУ /21</t>
  </si>
  <si>
    <t>№ 102ТУ 14.12.2021.</t>
  </si>
  <si>
    <t>Коломенская Ирина Борисовна, ул. Вичугская у д.166, Тоговые киоски ТУ102 от 13.12.2021.</t>
  </si>
  <si>
    <t>7.2.1.66.</t>
  </si>
  <si>
    <t xml:space="preserve"> Монтаж комплекса АИСКУЭ №18, 94ТУ /21</t>
  </si>
  <si>
    <t>№ 94ТУ 29.11.2021.</t>
  </si>
  <si>
    <t>Мунина Галина Юрьевна, ул. Лесозаводская д.17, Гараж ТУ94 от 29.11.2021.</t>
  </si>
  <si>
    <t>7.2.1.67.</t>
  </si>
  <si>
    <t xml:space="preserve"> Монтаж комплекса АИСКУЭ №18, 83ТУ /21</t>
  </si>
  <si>
    <t>№ 83ТУ 15.10.2021.</t>
  </si>
  <si>
    <t>Индивидуальный предприниматель Ярославцев Александр Сергеевич ул. Спортивная д.15 Универсальный магазин ТУ83 от 15.10.2021.</t>
  </si>
  <si>
    <t>7.2.1.68.</t>
  </si>
  <si>
    <t xml:space="preserve"> Монтаж комплекса АИСКУЭ №18, 77ТУ /21</t>
  </si>
  <si>
    <t>№ 77ТУ 07.10.2021.</t>
  </si>
  <si>
    <t>Индивидуальный предприниматель Огорельцев Алексей Ильич ул. Юрьевецкая уч.38 Административное/офисное здание ТУ77 от 07.10.2021.</t>
  </si>
  <si>
    <t xml:space="preserve"> Монтаж комплекса АИСКУЭ №9, 29 Т /20</t>
  </si>
  <si>
    <t>№ 67Т 04.10.2020.</t>
  </si>
  <si>
    <t>Дубровин Руслан Евгеньевич, ул. им. Менделеева кад. ном. 37:25:010806:189, Магазин</t>
  </si>
  <si>
    <t xml:space="preserve"> Монтаж комплекса АИСКУЭ №14, 67 ТУ /20</t>
  </si>
  <si>
    <t>№ 29ТУ 14.10.2020.</t>
  </si>
  <si>
    <t>ООО "СТК Сирин" ул. Вичугская 92 Электрощит</t>
  </si>
  <si>
    <t>7.2.2.3.</t>
  </si>
  <si>
    <t xml:space="preserve"> Монтаж комплекса АИСКУЭ №14, 24 ТУ /21</t>
  </si>
  <si>
    <t>№ 24ТУ 12.05.2021.</t>
  </si>
  <si>
    <t>Индивидуальный предприниматель Чертова Лидия Николаевна ул. Лесозаводская кад. ном. 37:25:011109-119 Магазин ТУ24 от 12.05.2021.</t>
  </si>
  <si>
    <t>7.2.2.4.</t>
  </si>
  <si>
    <t xml:space="preserve"> Монтаж комплекса АИСКУЭ №17, 30 ТУ /21</t>
  </si>
  <si>
    <t>№ 30ТУ 20.05.2021.</t>
  </si>
  <si>
    <t>Индивидуальный предприниматель Лысов Александр Сергеевич ул. им. Ленина д.32/2 КЛ-0,4 кВ от ТП-164 до нежилых помещений ТУ30 от 20.05.2021.</t>
  </si>
  <si>
    <t>7.2.2.5.</t>
  </si>
  <si>
    <t xml:space="preserve"> Монтаж комплекса АИСКУЭ №18, 29 ТУ /21</t>
  </si>
  <si>
    <t>№ 29ТУ 20.05.2021.</t>
  </si>
  <si>
    <t>ООО "Композитные технологии" ул. Окружная 4д Производственное здание/помещение ТУ29 от 20.05.2021.</t>
  </si>
  <si>
    <t xml:space="preserve">Генеральный директор                                                                                                                                                     </t>
  </si>
  <si>
    <t>х/с</t>
  </si>
  <si>
    <r>
  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 </t>
    </r>
    <r>
      <rPr>
        <b/>
        <u/>
        <sz val="16"/>
        <color theme="1"/>
        <rFont val="Calibri"/>
        <family val="2"/>
        <charset val="204"/>
        <scheme val="minor"/>
      </rPr>
      <t>АО "Кинешемская ГЭС"</t>
    </r>
  </si>
  <si>
    <t>Монтаж КТПМ с трансформатором ТМГ-160</t>
  </si>
  <si>
    <t>Строительство ВЛЗ кВ с разъединителем</t>
  </si>
  <si>
    <t>67ТУ от 08.10.2021</t>
  </si>
  <si>
    <t>Строительство ВЛИ -0,4 кВ от КТПМ -19-А</t>
  </si>
  <si>
    <t>Утверждено на 2022 год
(Постановление ДЭиТ Ивановской области от 30.12.2021 №61-э/3)</t>
  </si>
  <si>
    <t>до 15</t>
  </si>
  <si>
    <t>до 150</t>
  </si>
  <si>
    <t>свыше 150 кВт и менее 670 кВт</t>
  </si>
  <si>
    <t>ИПЦ 2023</t>
  </si>
  <si>
    <t>ТУ38 от 09.06.2021</t>
  </si>
  <si>
    <t>ООО "Т2 Мобайл"</t>
  </si>
  <si>
    <t>ТУ37 от 08.06.2021</t>
  </si>
  <si>
    <t>ТУ25 от 17.05.2021</t>
  </si>
  <si>
    <t>Клопов Сергей Владимирович</t>
  </si>
  <si>
    <t>ТУ10 от 01.03.2021</t>
  </si>
  <si>
    <t>Жигулин Андрей Евгеньевич</t>
  </si>
  <si>
    <t>61ТУ от 01.09.2020</t>
  </si>
  <si>
    <t>Зимин Александр Николаевич</t>
  </si>
  <si>
    <t>2Т/21 от 25.03.2021</t>
  </si>
  <si>
    <t>Карнаухов Павел Александрович</t>
  </si>
  <si>
    <t>85ТУ от 14.12.2020</t>
  </si>
  <si>
    <t>Зорова Ирина Ананьевна</t>
  </si>
  <si>
    <t>ТУ14 от 01.04.2021</t>
  </si>
  <si>
    <t>Касаткин Иван Львыович</t>
  </si>
  <si>
    <t>ТУ55 от 03.08.2021</t>
  </si>
  <si>
    <t>Муравьев Иван Викторович</t>
  </si>
  <si>
    <t>ТУ77 от 07.10.2021</t>
  </si>
  <si>
    <t>Индивидуальный предприниматель Огорельцев Алексей Ильич</t>
  </si>
  <si>
    <t>ТУ24 от 12.05.2021</t>
  </si>
  <si>
    <t>Индивидуальный предприниматель Чертова Лидия Николаевна</t>
  </si>
  <si>
    <t>3Т-юр/20 от 13.02.2020</t>
  </si>
  <si>
    <t>ООО "Окулист"</t>
  </si>
  <si>
    <t>ТУ33 от 25.05.2021</t>
  </si>
  <si>
    <t>Индивидуальный предприниматель Романов Роман Владимирович</t>
  </si>
  <si>
    <t>ТУ8 от 04.02.2021</t>
  </si>
  <si>
    <t>70ТУ от 26.10.2020</t>
  </si>
  <si>
    <t>52ТУ от 19.08.2020</t>
  </si>
  <si>
    <t>Зимин Иван Владимирович</t>
  </si>
  <si>
    <t>ТУ43 от 30.06.2021</t>
  </si>
  <si>
    <t>Филина Юлия Вадимовна</t>
  </si>
  <si>
    <t>82ТУ от 26.11.2020</t>
  </si>
  <si>
    <t>Панфилов Олег Александрович</t>
  </si>
  <si>
    <t>46ТУ от 12.08.2020</t>
  </si>
  <si>
    <t>ООО "АМТ"</t>
  </si>
  <si>
    <t>74ТУ от 12.11.2020</t>
  </si>
  <si>
    <t>Голубев Алексей Николаевич</t>
  </si>
  <si>
    <t>44ТУ от 12.08.2020</t>
  </si>
  <si>
    <t>Николаева Татьяна Александровна</t>
  </si>
  <si>
    <t>ТУ45 от 02.07.2021</t>
  </si>
  <si>
    <t>Карачев Алексей Александрович</t>
  </si>
  <si>
    <t>ТУ36 от 02.06.2021</t>
  </si>
  <si>
    <t>Борисова Татьяна Николаевна</t>
  </si>
  <si>
    <t>ТУ22 от 12.05.2021</t>
  </si>
  <si>
    <t>Степанычева Евгения Сергеевна</t>
  </si>
  <si>
    <t>64ТУ от 21.09.2020</t>
  </si>
  <si>
    <t>Дьяков Руслан Сергеевич</t>
  </si>
  <si>
    <t>69ТУ от 21.10.2020</t>
  </si>
  <si>
    <t>ИП Паршаков Николай Юрьевич</t>
  </si>
  <si>
    <t>ТУ7 от 04.02.2021</t>
  </si>
  <si>
    <t>Индивидуальный предприниматель Лебедев Дмитрий Валерьевич</t>
  </si>
  <si>
    <t>29Т/20 от 14.10.2020</t>
  </si>
  <si>
    <t>Дубровин Руслан Евгеньевич</t>
  </si>
  <si>
    <t>Реконструкция ВЛ-0,4кВ (строительство от существующей линии)</t>
  </si>
  <si>
    <t>ТУ29 от 20.05.2021</t>
  </si>
  <si>
    <t>ООО "Композитные технологии"</t>
  </si>
  <si>
    <t>Реконструкция ВЛИ-0,4кВ (строительство от существующей линии)</t>
  </si>
  <si>
    <t>Реконструкция ВЛИ-0,4кВ(строительство от существующей линии)</t>
  </si>
  <si>
    <t>Реконструкция ВЛИ-0,4кВ  (строительство от существующей линии)</t>
  </si>
  <si>
    <t>Реконструкция КЛ-6кВ</t>
  </si>
  <si>
    <t>Реконструкция оборудования ТП 63</t>
  </si>
  <si>
    <t>Реконструкция оборудования ТП 7</t>
  </si>
  <si>
    <t>ООО"Композитные технологии"(пр.№106-х от 30.11.21г.)</t>
  </si>
  <si>
    <t>Тех.условия №29ТУ от 20.05.2021г.</t>
  </si>
  <si>
    <t>ИП Романов Р.В.(пр.№97-Х от 19.10.21г.)</t>
  </si>
  <si>
    <t>Тех.условия №33ТУ от 25.05.2021г.</t>
  </si>
  <si>
    <t>Реконструкция ВЛ-0,4 кВ от ТП-8 Инв. №-30047 с увеличением протяженности на100м по договору об осуществлении технологического присоединения №4Т/20 от 10.02.2020</t>
  </si>
  <si>
    <t>Реконструкция ВЛ-0,4 кВ от ТП-23 Инв. №-30059 с увеличением протяженности на25м по договору об осуществлении технологического присоединения №20Т/20 от 07.07.2020</t>
  </si>
  <si>
    <t>Реконструкция ВЛ-0,4 кВ от ТП-93 Инв. №-30179 с увеличением протяженности на75м по договору об осуществлении технологического присоединения №12Т/20 от 02.06.2020</t>
  </si>
  <si>
    <t>Реконструкция ВЛ-0,4 кВ от ТП-134 Инв. №-30117 с увеличением протяженности на90м по договору об осуществлении технологического присоединения №47ТУ от 14.08.2020</t>
  </si>
  <si>
    <t>Реконструкция ВЛ-0,4 кВ от ТП-177 Инв. №-30150 с увеличением протяженности на80м по договору об осуществлении технологического присоединения №8Т/20 от 21.02.2020</t>
  </si>
  <si>
    <t>10.02.2020  4Т/20</t>
  </si>
  <si>
    <t>Ярославцев Александр Сергеевич</t>
  </si>
  <si>
    <t>07.07.2020  20Т/20</t>
  </si>
  <si>
    <t>Ильин Михаил Сергеевич</t>
  </si>
  <si>
    <t>02.06.2020  12Т/20</t>
  </si>
  <si>
    <t>Сизова Татьяна Львовна</t>
  </si>
  <si>
    <t>14.08.2020  47ТУ</t>
  </si>
  <si>
    <t>Гурбанов Ромазан Рамиз оглы</t>
  </si>
  <si>
    <t>21.02.2020  8Т/20</t>
  </si>
  <si>
    <t>Зайцева Оксана Александровна</t>
  </si>
  <si>
    <t>Реконструкция ВЛ-0,4 кВ от ТП-5 Инв. №-30044 с увеличением протяженности на35м по договору об осуществлении технологического присоединения №24Т/20 от 13.08.2020</t>
  </si>
  <si>
    <t>Реконструкция ВЛ-0,4 кВ от ТП-94 Инв. №-30157 с увеличением протяженности на200м по договору об осуществлении технологического присоединения №6Т-юр/20 от 24.04.2020</t>
  </si>
  <si>
    <t>Реконструкция ВЛ-0,4 кВ от ТП-8 Инв. №-30047 с увеличением протяженности на30м по договору об осуществлении технологического присоединения №23Т/20 от 13.08.2020</t>
  </si>
  <si>
    <t>Реконструкция ВЛ-0,4 кВ от ТП-4 Инв. №-30043 с увеличением протяженности на30м по договору об осуществлении технологического присоединения №22Т/20 от 06.08.2020</t>
  </si>
  <si>
    <t>Реконструкция ВЛ-0,4 кВ от ТП-45 Инв. №-30081 с увеличением протяженности на75м по договору об осуществлении технологического присоединения №27Т/20 от 31.08.2020</t>
  </si>
  <si>
    <t>Реконструкция ВЛ-0,4 кВ от ТП-56 Инв. №-30087 с увеличением протяженности на100м по договору об осуществлении технологического присоединения №40Т/19 от 27.06.2019</t>
  </si>
  <si>
    <t>13.08.2020  24Т/20</t>
  </si>
  <si>
    <t>Чистякова Людмила Вячеславовна</t>
  </si>
  <si>
    <t>24.04.2020  6Т-юр/20</t>
  </si>
  <si>
    <t>13.08.2020  23Т/20</t>
  </si>
  <si>
    <t>Голубева Наталья Вениаминовна</t>
  </si>
  <si>
    <t>06.08.2020  22Т/20</t>
  </si>
  <si>
    <t>Смирнов Юрий Валерьевич</t>
  </si>
  <si>
    <t>31.08.2020  27Т/20</t>
  </si>
  <si>
    <t>Русскова Лидия Геннадьевна</t>
  </si>
  <si>
    <t>27.06.2019  40Т/19</t>
  </si>
  <si>
    <t>Смирнов Роман Сергеевич</t>
  </si>
  <si>
    <t>Реконструкция ВЛ-0,4 кВ от ТП-113 Инв. №-30136 с увеличением протяженности на260м по договору об осуществлении технологического присоединения №5Т/20 от 12.02.2020</t>
  </si>
  <si>
    <t>12.02.2020  5Т/20</t>
  </si>
  <si>
    <t>Боданов Дмитрий Викторович</t>
  </si>
  <si>
    <t>Реконструкция ВЛ-0,4 кВ от ТП-57 Инв. №-30123а с увеличением протяженности на90м по договору об осуществлении технологического присоединения №17Т/20 от 22.07.2020</t>
  </si>
  <si>
    <t>Реконструкция ВЛ-0,4 кВ от ТП-28 Инв. №-30177 с увеличением протяженности на35м по договору об осуществлении технологического присоединения №7Т-юр/20 от 03.06.2020</t>
  </si>
  <si>
    <t>Реконструкция ВЛ-0,4 кВ от ТП-33 Инв. №-30069 с увеличением протяженности на170м по договору об осуществлении технологического присоединения №21Т/20 от 06.08.2020</t>
  </si>
  <si>
    <t>Реконструкция ВЛ-0,4 кВ от ТП-129 Инв. №-30122 с увеличением протяженности на270м по договору об осуществлении технологического присоединения №1Т-юр/20 от 15.01.2020</t>
  </si>
  <si>
    <t>22.07.2020  17Т/20</t>
  </si>
  <si>
    <t>Куртенко Олег Николаевич</t>
  </si>
  <si>
    <t>03.06.2020  7Т-юр/20</t>
  </si>
  <si>
    <t>ИП Наумкин Александр Юрьевич</t>
  </si>
  <si>
    <t>06.08.2020  21Т/20</t>
  </si>
  <si>
    <t>15.01.2020  1Т-юр/20</t>
  </si>
  <si>
    <t>ООО "Стройфинкапитал"</t>
  </si>
  <si>
    <t>Реконструкция оборудования ТП-113</t>
  </si>
  <si>
    <t>Реконструкция оборудования ТП-129</t>
  </si>
  <si>
    <t>Реконструкция оборудования ТП-140</t>
  </si>
  <si>
    <t>6/0,5</t>
  </si>
  <si>
    <t>15.01.2020 1Т/юр/20</t>
  </si>
  <si>
    <t>Богданов Д.В.</t>
  </si>
  <si>
    <t>12.02.2020 5т/20</t>
  </si>
  <si>
    <t>06.12.2019 23т/юр/19</t>
  </si>
  <si>
    <t>МУ "ГУС"</t>
  </si>
  <si>
    <t>РеконструкцияВЛ 0,4кВ от ТП31 инв.№30067 с увеличением протяженности на 130м к договору тех.присоединения № 4Т/19 от 06.02.2019г</t>
  </si>
  <si>
    <t>06.02.2019 4Т/19</t>
  </si>
  <si>
    <t>Богданова Наталья Ивановна</t>
  </si>
  <si>
    <t>СИП 4х25</t>
  </si>
  <si>
    <t>Реконструкция ВЛ 0,4кВ от ТП 113 инв.№30136по договору тех.присоединения 5Т/19 от 13.02.2019г  увеличив протяженность на 250м</t>
  </si>
  <si>
    <t>13.02.2019 5Т/19</t>
  </si>
  <si>
    <t>Круглов Александр Сергеевич</t>
  </si>
  <si>
    <t>СИП 4х35</t>
  </si>
  <si>
    <t>Реконструкция ВЛИ 0,4кВ от ТП 47 инв.№30156 увеличив протяженность на 100м к договору №6т-юр/19 от 19.02.2019г</t>
  </si>
  <si>
    <t>19.02.2019 6Т-юр/19</t>
  </si>
  <si>
    <t>Индивидуальный предприниматель Воронков Эдуард Викторович</t>
  </si>
  <si>
    <t>СИП 4х16</t>
  </si>
  <si>
    <t>Реконструкция ВЛ 0,4кВ от ТП31 инв.№30067 увеличение протяженности на 95м к договору тех.присоединения №6т/19 от 26.02.2019г.</t>
  </si>
  <si>
    <t>26.02.2019 6Т/19</t>
  </si>
  <si>
    <t>Грачева Ксения Валерьевна</t>
  </si>
  <si>
    <t>Реконструкция ВЛИ 0,4кВ от ТП1 инв.№30040 увеличив протяж.на 100м к договору №10т/19 от 19.03.2019г</t>
  </si>
  <si>
    <t>19.03.2019 10Т/19</t>
  </si>
  <si>
    <t>Копылов Павел Викторович</t>
  </si>
  <si>
    <t>Реконструкция ВЛ 0,4кВ от ТП182 инв.№30651 к договору 11Т/19 от 27.03.19г увеличение протяженности на 110м</t>
  </si>
  <si>
    <t>27.03.2019 11Т/19</t>
  </si>
  <si>
    <t>Зверев Алексей Александрович</t>
  </si>
  <si>
    <t xml:space="preserve"> Реконструкция ВЛИ 0,4кВ от Тп 77 инв.№ 30095 увеличение протяж.на 265м к договору тех.присоединения 11Т-юр/19 от 01.07.19.</t>
  </si>
  <si>
    <t>01.07.2019 11Т-юр/19</t>
  </si>
  <si>
    <t>Общество с ограниченной ответственностью "Степ-Строй"</t>
  </si>
  <si>
    <t>Реконструкция ВЛ 0,4кВ от ТП 139 инв.№ 30119 к  договору тех.присоединения №21т-юр/19 от 14.11.2019г с увеличением  протяженности на 60м</t>
  </si>
  <si>
    <t>14.11.2019 21Т-юр/19</t>
  </si>
  <si>
    <t>Акционерное общество "Первая башенная компания"</t>
  </si>
  <si>
    <t>Реконструкция ВЛ-0,4кВ инв.№30052 от ТП 14 с увеличением протяженности на 50м  к договору тех.присоединения 41т\19 от 28.06.2019г.</t>
  </si>
  <si>
    <t>28.06.2019 41Т/19</t>
  </si>
  <si>
    <t>Коныгин Алексей Сергеевич</t>
  </si>
  <si>
    <t>Локальная смета № на  реконструкцию ВЛИ 0,4кВ от ТП 32 инв.№30068 увеличив протяженность на 95м согласно договора тех.присоединения №53т/18 от 07.11.2018г</t>
  </si>
  <si>
    <t>07.11.2018 53Т/18</t>
  </si>
  <si>
    <t>Золотов Александр Николаевич</t>
  </si>
  <si>
    <t>Реконструкция ВЛ 0,4кВ от ТП 11 инв.№ 30050 к  договору тех.присоединения №17т/19 от 14.05.2019г с увеличением  протяженности на 230м</t>
  </si>
  <si>
    <t>14.05.2019 17Т/19</t>
  </si>
  <si>
    <t>Виноградов Олег Владимирович</t>
  </si>
  <si>
    <t>Локальная смета № на  реконструкцию ВЛИ 0,4кВ от ТП33 инв.№30069 увеличив протяженность на 40м согласно договора тех.присоединения №60т/18 от 03.12.2018г</t>
  </si>
  <si>
    <t>03.12.2018 60Т/18</t>
  </si>
  <si>
    <t>Брезгин Сергей Анатольевич</t>
  </si>
  <si>
    <t>Реконструкция ВЛ 0,4кВ от ТП 165 инв.№ 30145 к  договору тех.присоединения №58т/19 от 12.09.2019г с увеличением  протяженности на 290м</t>
  </si>
  <si>
    <t>12.09.2019 58Т/19</t>
  </si>
  <si>
    <t>Беляев Владимир Владимирович</t>
  </si>
  <si>
    <t xml:space="preserve"> Реконструкция ВЛИ 0,4кВ от Тп 17 инв.№30054 к договору тех.присоединения №63т/19 от 24.09.19г с увеличением протяженности на 80м</t>
  </si>
  <si>
    <t>24.09.2019 63Т/19</t>
  </si>
  <si>
    <t>Лебедев Максим Валерьевич</t>
  </si>
  <si>
    <t>Реконструкция ВЛ 0,4кВ от ТП 136 инв.№ 30142 к  договору тех.присоединения №13т-юр/19 от 07.09.2019г с увеличением  протяженности на 30м</t>
  </si>
  <si>
    <t>07.10.2019 13Т-юр/19</t>
  </si>
  <si>
    <t>Индивидуальный предприниматель Черных Александр Аркадьевич</t>
  </si>
  <si>
    <t>СИП 2х16 30м 2х25 10м</t>
  </si>
  <si>
    <t>Реконструкция ВЛ 0,4кВ от ТП 113 инв.№ 30136 с увеличением  протяженности на 120м к договору №17Т-юр/19 от 11.10.19г</t>
  </si>
  <si>
    <t>11.10.2019 17Т-юр/19</t>
  </si>
  <si>
    <t>ООО "Виртус"</t>
  </si>
  <si>
    <t>Реконструкция ВЛ 0,4кВ от Тп 56 инв.№30087 с увеличением протяженности на 50м согласно договора тех.присоединения №1т\19 от 11.01.2019г</t>
  </si>
  <si>
    <t>11.01.2019 1Т/19</t>
  </si>
  <si>
    <t>Груздева Елена Алексеевна</t>
  </si>
  <si>
    <t>Реконструкция ВЛИ 0,4кВ от ТП37 инв.№30073  увеличив протяж.на 85м к договору тех.присоединения 12т/19 от 27.03.2019г.</t>
  </si>
  <si>
    <t>27.03.2019 12Т/19</t>
  </si>
  <si>
    <t>Блинова Марина Викторовна</t>
  </si>
  <si>
    <t>Реконструкция ВЛ 0,4кВ от Тп 57 инв.№30123а с увеличением протяженности на 30м к договору тех.присоединения 15т/19 от 07.05.2019г</t>
  </si>
  <si>
    <t>07.05.2019 15Т/19</t>
  </si>
  <si>
    <t>Золотарев Александр Павлович</t>
  </si>
  <si>
    <t>РеконструкцияВЛ 0,4кВ от ТП 17 инв.№30054 с увеличением протяженности на 70м  к договору тех.присоединения 18Т/19 от 15.05.2019г</t>
  </si>
  <si>
    <t>15.05.2019 18Т/19</t>
  </si>
  <si>
    <t>Плешанова Лидия Николаевна</t>
  </si>
  <si>
    <t>РеконструкцияВЛ 0,4кВ от ТП51 инв.№30129 с увеличением протяженности на 50м   к договору тех.присоединения №19т/19 от 16.05.2019г</t>
  </si>
  <si>
    <t>16.05.2019 19Т/19</t>
  </si>
  <si>
    <t>Зимин Дмитрий Николаевич</t>
  </si>
  <si>
    <t xml:space="preserve"> РеконструкцияВЛ 0,4кВ от ТП147 инв.№30650 с увеличением протяженности на 50м   к договору тех.присоединения №20т/19 от 17.05.2019г</t>
  </si>
  <si>
    <t>17.05.2019 20Т/19</t>
  </si>
  <si>
    <t>Тужиков Алексей Андреевич</t>
  </si>
  <si>
    <t>РеконструкцияВЛ 0,4кВ от ТП39  инв.№30075  согласно договора тех.присоединения 22Т/19 от 24.05.19г увеличение протяженности на 200м</t>
  </si>
  <si>
    <t>24.05.2019 22Т/19</t>
  </si>
  <si>
    <t>Фомина Наталья Юрьевна</t>
  </si>
  <si>
    <t>Реконструкция ВЛ 0,4кВ инв.№30056 от ТП 19 с увеличением протяженности на 130м по договору тех.присоединения 29т/19 от 11.06.19г.</t>
  </si>
  <si>
    <t>11.06.2019 29Т/19</t>
  </si>
  <si>
    <t>Вишневский Дмитрий Сергеевич</t>
  </si>
  <si>
    <t>СИП4 4х16</t>
  </si>
  <si>
    <t>Реконструкция ВЛ 0,4кВ инв.№30123а от ТП 57 с увеличением протяженности на 70м по договору тех.присоединения 32Т/19 от 17.06.19г.</t>
  </si>
  <si>
    <t>17.06.2019 32Т/19</t>
  </si>
  <si>
    <t>Замазкина Галина Леонидовна</t>
  </si>
  <si>
    <t>Реконструкция ВЛ 0,4кВ инв.№30073 от ТП 37 с увеличением протяженности на 90м по договору тех.присоединения 33Т/19 от 18.06.19г.</t>
  </si>
  <si>
    <t>18.06.2019 33Т/19</t>
  </si>
  <si>
    <t>Румянцев Денис Александрович</t>
  </si>
  <si>
    <t xml:space="preserve">Реконструкция ВЛ 0,4кВ от ТП 146 инв.№30647 к договору тех.присоединения 36Т/19 от 24.06.19г.с увеличением протяженности на 190м </t>
  </si>
  <si>
    <t>24.06.2019 36Т/19</t>
  </si>
  <si>
    <t>Овчинникова Галина Васильевна</t>
  </si>
  <si>
    <t>Реконструкция ВЛ-0,4кВ инв.№30153 от ТП 158 с увеличением протяженности на 250м. по договору тех.присоединения 39т/19 от 26.06.19г.</t>
  </si>
  <si>
    <t>26.06.2019 39Т/19</t>
  </si>
  <si>
    <t>Макаров Михаил Сергеевич</t>
  </si>
  <si>
    <t>СИП4 4х35</t>
  </si>
  <si>
    <t>Реконструкция ВЛ 0,4кВ от ТП308 инв.№30519 к договору 54Т/18 от 14.11.18г увеличение протяженности на 170м</t>
  </si>
  <si>
    <t>14.11.2018 54Т/18</t>
  </si>
  <si>
    <t>Метелкин Сергей Владимирович</t>
  </si>
  <si>
    <t>Реконструкция ВЛ 0,4кВ от ТП 139 инв.№30119 по договору тех.присоединения 3т-юр/19 от 05.02.2019г  увеличив протяженность на 200м</t>
  </si>
  <si>
    <t>05.02.2019 3Т-юр/19</t>
  </si>
  <si>
    <t>Реконструкция ВЛ 0,4кВ инв.№30518  от ТП 161 с увеличением протяженности на 160м по договору тех.присоединения №47Т/19 от 30.07.19г</t>
  </si>
  <si>
    <t>30.07.2019 47Т/19</t>
  </si>
  <si>
    <t>Карачев Владимир Николаевич</t>
  </si>
  <si>
    <t>Локальная смета № на  реконструкцию ВЛИ 0,4кВ от ТП134 инв.№30117 увеличив протяженность на 80м согласно договора тех.присоединения №37т/17 от 29.06.2017г</t>
  </si>
  <si>
    <t>29.06.2017 37Т/17</t>
  </si>
  <si>
    <t>Леднев Андрей Александрович</t>
  </si>
  <si>
    <t>Реконструкция ВЛ 0,4кВ инв.№30074 от ТП 38 с увеличением протяженности на 60м по договору тех.присоединения №60Т/19 от 16.09.19г</t>
  </si>
  <si>
    <t>16.09.2019 60Т/19</t>
  </si>
  <si>
    <t>Серов Дмитрий Валентинович</t>
  </si>
  <si>
    <t>Реконструкция ВЛ 0,4кВ инв.№30121 от ТП 100 с увеличением протяженности на 80м по договору тех.присоединения №61Т/19 от 19.09.19г</t>
  </si>
  <si>
    <t>19.09.2019 61Т/19</t>
  </si>
  <si>
    <t>Масленников Сергей Львович</t>
  </si>
  <si>
    <t>Реконструкция ВЛ 0,4кВ от Тп 29 инв.№30063 с увеличением протяженности на 350м  к договору №45/19 от 18.07.2019г</t>
  </si>
  <si>
    <t>18.07.2019 45Т/19</t>
  </si>
  <si>
    <t>Ярославцева Наталья Сергеевна</t>
  </si>
  <si>
    <t>к Методическим указаниям 
по определению размера платы 
за технологическое присоединение к электрическим сетям,
утвержденным Приказом ФАС от 30.06.2022 г. N 490/22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</si>
</sst>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.0"/>
    <numFmt numFmtId="167" formatCode="#,##0.000"/>
    <numFmt numFmtId="168" formatCode="0.000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sz val="2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i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Arial Cyr"/>
      <family val="2"/>
      <charset val="204"/>
    </font>
    <font>
      <sz val="12"/>
      <color indexed="8"/>
      <name val="Calibri"/>
      <family val="2"/>
      <charset val="204"/>
    </font>
    <font>
      <sz val="12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2"/>
      <color theme="1"/>
      <name val="Calibri"/>
      <scheme val="minor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charset val="204"/>
    </font>
    <font>
      <sz val="9"/>
      <name val="Arial Cyr"/>
      <charset val="204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4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4" fillId="2" borderId="0"/>
    <xf numFmtId="0" fontId="14" fillId="0" borderId="45"/>
    <xf numFmtId="0" fontId="14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19" fillId="0" borderId="0"/>
    <xf numFmtId="0" fontId="1" fillId="0" borderId="0"/>
    <xf numFmtId="0" fontId="20" fillId="0" borderId="0"/>
    <xf numFmtId="9" fontId="15" fillId="0" borderId="0" applyFont="0" applyFill="0" applyBorder="0" applyAlignment="0" applyProtection="0"/>
    <xf numFmtId="0" fontId="12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48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9" fillId="0" borderId="21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25" xfId="0" applyNumberFormat="1" applyFont="1" applyFill="1" applyBorder="1" applyAlignment="1">
      <alignment horizontal="left" vertical="center" wrapText="1"/>
    </xf>
    <xf numFmtId="0" fontId="2" fillId="0" borderId="38" xfId="0" applyNumberFormat="1" applyFont="1" applyFill="1" applyBorder="1" applyAlignment="1">
      <alignment horizontal="center" vertical="center" wrapText="1"/>
    </xf>
    <xf numFmtId="0" fontId="2" fillId="0" borderId="39" xfId="0" applyNumberFormat="1" applyFont="1" applyFill="1" applyBorder="1" applyAlignment="1">
      <alignment horizontal="left" vertical="center" wrapText="1"/>
    </xf>
    <xf numFmtId="0" fontId="2" fillId="0" borderId="39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Fill="1" applyBorder="1" applyAlignment="1">
      <alignment horizontal="center" vertical="center" wrapText="1"/>
    </xf>
    <xf numFmtId="0" fontId="2" fillId="0" borderId="40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left" vertical="center" wrapText="1"/>
    </xf>
    <xf numFmtId="0" fontId="2" fillId="0" borderId="36" xfId="0" applyNumberFormat="1" applyFont="1" applyFill="1" applyBorder="1" applyAlignment="1">
      <alignment horizontal="center" vertical="center" wrapText="1"/>
    </xf>
    <xf numFmtId="0" fontId="2" fillId="0" borderId="36" xfId="0" applyNumberFormat="1" applyFont="1" applyFill="1" applyBorder="1" applyAlignment="1">
      <alignment horizontal="left" vertical="center" wrapText="1"/>
    </xf>
    <xf numFmtId="4" fontId="2" fillId="0" borderId="36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wrapText="1"/>
    </xf>
    <xf numFmtId="0" fontId="5" fillId="0" borderId="4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6" fillId="0" borderId="4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" fillId="0" borderId="48" xfId="0" applyNumberFormat="1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left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 wrapText="1"/>
    </xf>
    <xf numFmtId="0" fontId="7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wrapText="1"/>
    </xf>
    <xf numFmtId="0" fontId="2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165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30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4" fontId="2" fillId="0" borderId="30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41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3" fontId="2" fillId="0" borderId="42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4" fontId="2" fillId="0" borderId="42" xfId="0" applyNumberFormat="1" applyFont="1" applyFill="1" applyBorder="1" applyAlignment="1">
      <alignment horizontal="center" vertical="center" wrapText="1"/>
    </xf>
    <xf numFmtId="3" fontId="2" fillId="0" borderId="44" xfId="0" applyNumberFormat="1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3" fontId="2" fillId="0" borderId="39" xfId="0" applyNumberFormat="1" applyFont="1" applyFill="1" applyBorder="1" applyAlignment="1">
      <alignment horizontal="center" vertical="center" wrapText="1"/>
    </xf>
    <xf numFmtId="3" fontId="2" fillId="0" borderId="40" xfId="0" applyNumberFormat="1" applyFont="1" applyFill="1" applyBorder="1" applyAlignment="1">
      <alignment horizontal="center" vertical="center" wrapText="1"/>
    </xf>
    <xf numFmtId="3" fontId="2" fillId="0" borderId="59" xfId="0" applyNumberFormat="1" applyFont="1" applyFill="1" applyBorder="1" applyAlignment="1">
      <alignment horizontal="center" vertical="center" wrapText="1"/>
    </xf>
    <xf numFmtId="4" fontId="2" fillId="0" borderId="4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Fill="1" applyBorder="1" applyAlignment="1">
      <alignment horizontal="center" vertical="center" wrapText="1"/>
    </xf>
    <xf numFmtId="4" fontId="2" fillId="0" borderId="59" xfId="0" applyNumberFormat="1" applyFont="1" applyFill="1" applyBorder="1" applyAlignment="1">
      <alignment horizontal="center" vertical="center" wrapText="1"/>
    </xf>
    <xf numFmtId="4" fontId="2" fillId="0" borderId="55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4" fontId="2" fillId="0" borderId="4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 indent="1"/>
    </xf>
    <xf numFmtId="0" fontId="2" fillId="0" borderId="14" xfId="0" applyFont="1" applyFill="1" applyBorder="1" applyAlignment="1">
      <alignment horizontal="left" vertical="center" wrapText="1" indent="2"/>
    </xf>
    <xf numFmtId="0" fontId="2" fillId="0" borderId="14" xfId="0" applyFont="1" applyFill="1" applyBorder="1" applyAlignment="1">
      <alignment horizontal="left" vertical="center" wrapText="1" indent="3"/>
    </xf>
    <xf numFmtId="0" fontId="2" fillId="0" borderId="5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 indent="2"/>
    </xf>
    <xf numFmtId="0" fontId="25" fillId="0" borderId="0" xfId="0" applyFont="1" applyFill="1" applyAlignment="1">
      <alignment horizontal="center" vertical="center"/>
    </xf>
    <xf numFmtId="165" fontId="2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4" fontId="2" fillId="3" borderId="24" xfId="0" applyNumberFormat="1" applyFont="1" applyFill="1" applyBorder="1" applyAlignment="1">
      <alignment horizontal="center" vertical="center" wrapText="1"/>
    </xf>
    <xf numFmtId="4" fontId="2" fillId="4" borderId="16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center" wrapText="1"/>
    </xf>
    <xf numFmtId="4" fontId="2" fillId="5" borderId="24" xfId="0" applyNumberFormat="1" applyFont="1" applyFill="1" applyBorder="1" applyAlignment="1">
      <alignment horizontal="center" vertical="center" wrapText="1"/>
    </xf>
    <xf numFmtId="4" fontId="2" fillId="5" borderId="16" xfId="0" applyNumberFormat="1" applyFont="1" applyFill="1" applyBorder="1" applyAlignment="1">
      <alignment horizontal="center" vertical="center" wrapText="1"/>
    </xf>
    <xf numFmtId="4" fontId="9" fillId="5" borderId="16" xfId="0" applyNumberFormat="1" applyFont="1" applyFill="1" applyBorder="1" applyAlignment="1">
      <alignment horizontal="center" vertical="center" wrapText="1"/>
    </xf>
    <xf numFmtId="4" fontId="2" fillId="5" borderId="38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167" fontId="9" fillId="4" borderId="16" xfId="0" applyNumberFormat="1" applyFont="1" applyFill="1" applyBorder="1" applyAlignment="1">
      <alignment horizontal="center" vertical="center" wrapText="1"/>
    </xf>
    <xf numFmtId="167" fontId="2" fillId="4" borderId="38" xfId="0" applyNumberFormat="1" applyFont="1" applyFill="1" applyBorder="1" applyAlignment="1">
      <alignment horizontal="center" vertical="center" wrapText="1"/>
    </xf>
    <xf numFmtId="167" fontId="2" fillId="5" borderId="16" xfId="0" applyNumberFormat="1" applyFont="1" applyFill="1" applyBorder="1" applyAlignment="1">
      <alignment horizontal="center" vertical="center" wrapText="1"/>
    </xf>
    <xf numFmtId="167" fontId="9" fillId="5" borderId="16" xfId="0" applyNumberFormat="1" applyFont="1" applyFill="1" applyBorder="1" applyAlignment="1">
      <alignment horizontal="center" vertical="center" wrapText="1"/>
    </xf>
    <xf numFmtId="167" fontId="2" fillId="5" borderId="38" xfId="0" applyNumberFormat="1" applyFont="1" applyFill="1" applyBorder="1" applyAlignment="1">
      <alignment horizontal="center" vertical="center" wrapText="1"/>
    </xf>
    <xf numFmtId="0" fontId="5" fillId="0" borderId="60" xfId="0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9" fillId="0" borderId="17" xfId="0" applyFont="1" applyBorder="1" applyAlignment="1">
      <alignment horizontal="center" vertical="center" wrapText="1"/>
    </xf>
    <xf numFmtId="0" fontId="29" fillId="5" borderId="1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1" fillId="0" borderId="0" xfId="0" applyFont="1" applyAlignment="1">
      <alignment vertical="center"/>
    </xf>
    <xf numFmtId="0" fontId="31" fillId="0" borderId="0" xfId="0" applyFont="1"/>
    <xf numFmtId="0" fontId="32" fillId="0" borderId="17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justify" vertical="center" wrapText="1"/>
    </xf>
    <xf numFmtId="0" fontId="33" fillId="0" borderId="17" xfId="0" applyFont="1" applyBorder="1" applyAlignment="1">
      <alignment horizontal="center" vertical="center" wrapText="1"/>
    </xf>
    <xf numFmtId="4" fontId="33" fillId="0" borderId="17" xfId="0" applyNumberFormat="1" applyFont="1" applyBorder="1" applyAlignment="1">
      <alignment horizontal="center" vertical="center" wrapText="1"/>
    </xf>
    <xf numFmtId="4" fontId="32" fillId="0" borderId="17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18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left" vertical="center" wrapText="1"/>
    </xf>
    <xf numFmtId="0" fontId="35" fillId="0" borderId="17" xfId="0" applyFont="1" applyBorder="1" applyAlignment="1">
      <alignment horizontal="center" vertical="center" wrapText="1"/>
    </xf>
    <xf numFmtId="4" fontId="35" fillId="0" borderId="17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3" fillId="0" borderId="18" xfId="0" applyNumberFormat="1" applyFont="1" applyBorder="1" applyAlignment="1">
      <alignment horizontal="left" vertical="center" wrapText="1"/>
    </xf>
    <xf numFmtId="0" fontId="33" fillId="0" borderId="19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7" fillId="3" borderId="38" xfId="0" applyFont="1" applyFill="1" applyBorder="1" applyAlignment="1">
      <alignment horizontal="center" vertical="center" wrapText="1"/>
    </xf>
    <xf numFmtId="0" fontId="37" fillId="3" borderId="39" xfId="0" applyFont="1" applyFill="1" applyBorder="1" applyAlignment="1">
      <alignment horizontal="left" vertical="center" wrapText="1"/>
    </xf>
    <xf numFmtId="0" fontId="37" fillId="3" borderId="39" xfId="0" applyFont="1" applyFill="1" applyBorder="1" applyAlignment="1">
      <alignment horizontal="center" vertical="center" wrapText="1"/>
    </xf>
    <xf numFmtId="0" fontId="37" fillId="3" borderId="40" xfId="0" applyFont="1" applyFill="1" applyBorder="1" applyAlignment="1">
      <alignment horizontal="center" vertical="center" wrapText="1"/>
    </xf>
    <xf numFmtId="168" fontId="2" fillId="3" borderId="17" xfId="0" applyNumberFormat="1" applyFont="1" applyFill="1" applyBorder="1" applyAlignment="1">
      <alignment horizontal="center" vertical="center" wrapText="1"/>
    </xf>
    <xf numFmtId="4" fontId="32" fillId="0" borderId="14" xfId="0" applyNumberFormat="1" applyFont="1" applyBorder="1" applyAlignment="1">
      <alignment vertical="center" wrapText="1" shrinkToFit="1"/>
    </xf>
    <xf numFmtId="4" fontId="30" fillId="0" borderId="14" xfId="0" applyNumberFormat="1" applyFont="1" applyBorder="1" applyAlignment="1">
      <alignment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2" fillId="5" borderId="16" xfId="0" applyFont="1" applyFill="1" applyBorder="1" applyAlignment="1">
      <alignment horizontal="center" vertical="center" wrapText="1"/>
    </xf>
    <xf numFmtId="0" fontId="33" fillId="5" borderId="17" xfId="0" applyFont="1" applyFill="1" applyBorder="1" applyAlignment="1">
      <alignment horizontal="left" wrapText="1"/>
    </xf>
    <xf numFmtId="0" fontId="32" fillId="5" borderId="17" xfId="0" applyFont="1" applyFill="1" applyBorder="1" applyAlignment="1">
      <alignment horizontal="center" vertical="center" wrapText="1"/>
    </xf>
    <xf numFmtId="168" fontId="32" fillId="5" borderId="17" xfId="0" applyNumberFormat="1" applyFont="1" applyFill="1" applyBorder="1" applyAlignment="1">
      <alignment horizontal="center" vertical="center" wrapText="1"/>
    </xf>
    <xf numFmtId="0" fontId="32" fillId="5" borderId="18" xfId="0" applyFont="1" applyFill="1" applyBorder="1" applyAlignment="1">
      <alignment horizontal="center" vertical="center" wrapText="1"/>
    </xf>
    <xf numFmtId="0" fontId="41" fillId="5" borderId="17" xfId="0" applyFont="1" applyFill="1" applyBorder="1" applyAlignment="1">
      <alignment horizontal="left" wrapText="1"/>
    </xf>
    <xf numFmtId="0" fontId="42" fillId="5" borderId="21" xfId="0" applyFont="1" applyFill="1" applyBorder="1" applyAlignment="1">
      <alignment horizontal="center" vertical="center" wrapText="1"/>
    </xf>
    <xf numFmtId="165" fontId="42" fillId="5" borderId="21" xfId="0" applyNumberFormat="1" applyFont="1" applyFill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3" fillId="3" borderId="38" xfId="0" applyFont="1" applyFill="1" applyBorder="1" applyAlignment="1">
      <alignment horizontal="center" vertical="center" wrapText="1"/>
    </xf>
    <xf numFmtId="0" fontId="43" fillId="3" borderId="39" xfId="0" applyFont="1" applyFill="1" applyBorder="1" applyAlignment="1">
      <alignment horizontal="left" vertical="center" wrapText="1"/>
    </xf>
    <xf numFmtId="0" fontId="43" fillId="3" borderId="39" xfId="0" applyFont="1" applyFill="1" applyBorder="1" applyAlignment="1">
      <alignment horizontal="center" vertical="center" wrapText="1"/>
    </xf>
    <xf numFmtId="168" fontId="43" fillId="3" borderId="39" xfId="0" applyNumberFormat="1" applyFont="1" applyFill="1" applyBorder="1" applyAlignment="1">
      <alignment horizontal="center" vertical="center" wrapText="1"/>
    </xf>
    <xf numFmtId="0" fontId="43" fillId="3" borderId="4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165" fontId="2" fillId="3" borderId="21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left" wrapText="1"/>
    </xf>
    <xf numFmtId="0" fontId="2" fillId="5" borderId="21" xfId="0" applyFont="1" applyFill="1" applyBorder="1" applyAlignment="1">
      <alignment horizontal="center" wrapText="1"/>
    </xf>
    <xf numFmtId="165" fontId="2" fillId="5" borderId="21" xfId="0" applyNumberFormat="1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2" fontId="9" fillId="5" borderId="62" xfId="0" applyNumberFormat="1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center" wrapText="1"/>
    </xf>
    <xf numFmtId="168" fontId="2" fillId="5" borderId="17" xfId="0" applyNumberFormat="1" applyFont="1" applyFill="1" applyBorder="1" applyAlignment="1">
      <alignment horizontal="center" wrapText="1"/>
    </xf>
    <xf numFmtId="0" fontId="2" fillId="5" borderId="20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left" vertical="center" wrapText="1"/>
    </xf>
    <xf numFmtId="0" fontId="2" fillId="5" borderId="21" xfId="0" applyFont="1" applyFill="1" applyBorder="1" applyAlignment="1">
      <alignment horizontal="center" vertical="center" wrapText="1"/>
    </xf>
    <xf numFmtId="165" fontId="2" fillId="5" borderId="21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wrapText="1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left" wrapText="1"/>
    </xf>
    <xf numFmtId="0" fontId="0" fillId="5" borderId="17" xfId="0" applyFont="1" applyFill="1" applyBorder="1" applyAlignment="1">
      <alignment horizontal="center" vertical="center" wrapText="1"/>
    </xf>
    <xf numFmtId="168" fontId="0" fillId="5" borderId="17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left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center" vertical="center" wrapText="1"/>
    </xf>
    <xf numFmtId="0" fontId="0" fillId="5" borderId="21" xfId="0" applyFont="1" applyFill="1" applyBorder="1" applyAlignment="1">
      <alignment horizontal="center" vertical="center" wrapText="1"/>
    </xf>
    <xf numFmtId="165" fontId="0" fillId="5" borderId="21" xfId="0" applyNumberFormat="1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39" fillId="5" borderId="17" xfId="0" applyFont="1" applyFill="1" applyBorder="1" applyAlignment="1">
      <alignment horizontal="center" vertical="center" wrapText="1"/>
    </xf>
    <xf numFmtId="0" fontId="2" fillId="5" borderId="48" xfId="0" applyNumberFormat="1" applyFont="1" applyFill="1" applyBorder="1" applyAlignment="1">
      <alignment horizontal="center" vertical="center" wrapText="1"/>
    </xf>
    <xf numFmtId="0" fontId="40" fillId="5" borderId="17" xfId="0" applyFont="1" applyFill="1" applyBorder="1" applyAlignment="1">
      <alignment horizontal="center" vertical="center" wrapText="1"/>
    </xf>
    <xf numFmtId="0" fontId="2" fillId="5" borderId="36" xfId="0" applyNumberFormat="1" applyFont="1" applyFill="1" applyBorder="1" applyAlignment="1">
      <alignment horizontal="center" vertical="center" wrapText="1"/>
    </xf>
    <xf numFmtId="4" fontId="2" fillId="5" borderId="36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8" fillId="5" borderId="61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2" fillId="5" borderId="0" xfId="0" applyNumberFormat="1" applyFont="1" applyFill="1" applyAlignment="1">
      <alignment horizontal="center" vertical="center" wrapText="1"/>
    </xf>
    <xf numFmtId="0" fontId="0" fillId="5" borderId="0" xfId="0" applyFill="1" applyAlignment="1">
      <alignment wrapText="1"/>
    </xf>
    <xf numFmtId="0" fontId="2" fillId="5" borderId="0" xfId="0" applyFont="1" applyFill="1" applyAlignment="1">
      <alignment wrapText="1"/>
    </xf>
    <xf numFmtId="4" fontId="2" fillId="6" borderId="25" xfId="0" applyNumberFormat="1" applyFont="1" applyFill="1" applyBorder="1" applyAlignment="1">
      <alignment horizontal="center" vertical="center" wrapText="1"/>
    </xf>
    <xf numFmtId="4" fontId="2" fillId="6" borderId="36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Fill="1" applyAlignment="1">
      <alignment horizontal="center" vertical="center" wrapText="1"/>
    </xf>
    <xf numFmtId="165" fontId="2" fillId="3" borderId="17" xfId="0" applyNumberFormat="1" applyFont="1" applyFill="1" applyBorder="1" applyAlignment="1">
      <alignment horizontal="center" vertical="center" wrapText="1"/>
    </xf>
    <xf numFmtId="1" fontId="2" fillId="3" borderId="17" xfId="0" applyNumberFormat="1" applyFont="1" applyFill="1" applyBorder="1" applyAlignment="1">
      <alignment horizontal="center" vertical="center" wrapText="1"/>
    </xf>
    <xf numFmtId="0" fontId="43" fillId="5" borderId="0" xfId="0" applyFont="1" applyFill="1" applyBorder="1" applyAlignment="1">
      <alignment horizontal="center" vertical="center" wrapText="1"/>
    </xf>
    <xf numFmtId="0" fontId="43" fillId="5" borderId="0" xfId="0" applyFont="1" applyFill="1" applyBorder="1" applyAlignment="1">
      <alignment horizontal="left"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168" fontId="43" fillId="5" borderId="0" xfId="0" applyNumberFormat="1" applyFont="1" applyFill="1" applyBorder="1" applyAlignment="1">
      <alignment horizontal="center" vertical="center" wrapText="1"/>
    </xf>
    <xf numFmtId="0" fontId="44" fillId="5" borderId="0" xfId="0" applyNumberFormat="1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wrapText="1"/>
    </xf>
    <xf numFmtId="1" fontId="0" fillId="3" borderId="17" xfId="0" applyNumberFormat="1" applyFont="1" applyFill="1" applyBorder="1" applyAlignment="1">
      <alignment horizontal="center" vertical="center" wrapText="1"/>
    </xf>
    <xf numFmtId="1" fontId="0" fillId="3" borderId="21" xfId="0" applyNumberFormat="1" applyFont="1" applyFill="1" applyBorder="1" applyAlignment="1">
      <alignment horizontal="center" vertical="center" wrapText="1"/>
    </xf>
    <xf numFmtId="4" fontId="2" fillId="0" borderId="4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5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51" xfId="0" applyFont="1" applyFill="1" applyBorder="1" applyAlignment="1">
      <alignment horizontal="center" vertical="center" wrapText="1"/>
    </xf>
    <xf numFmtId="4" fontId="2" fillId="0" borderId="58" xfId="0" applyNumberFormat="1" applyFont="1" applyFill="1" applyBorder="1" applyAlignment="1">
      <alignment horizontal="center" vertical="center" wrapText="1"/>
    </xf>
    <xf numFmtId="4" fontId="2" fillId="0" borderId="43" xfId="0" applyNumberFormat="1" applyFont="1" applyFill="1" applyBorder="1" applyAlignment="1">
      <alignment horizontal="center" vertical="center" wrapText="1"/>
    </xf>
    <xf numFmtId="3" fontId="2" fillId="0" borderId="58" xfId="0" applyNumberFormat="1" applyFont="1" applyFill="1" applyBorder="1" applyAlignment="1">
      <alignment horizontal="center" vertical="center" wrapText="1"/>
    </xf>
    <xf numFmtId="3" fontId="2" fillId="0" borderId="43" xfId="0" applyNumberFormat="1" applyFont="1" applyFill="1" applyBorder="1" applyAlignment="1">
      <alignment horizontal="center" vertical="center" wrapText="1"/>
    </xf>
    <xf numFmtId="3" fontId="2" fillId="0" borderId="54" xfId="0" applyNumberFormat="1" applyFont="1" applyFill="1" applyBorder="1" applyAlignment="1">
      <alignment horizontal="center" vertical="center" wrapText="1"/>
    </xf>
    <xf numFmtId="3" fontId="2" fillId="0" borderId="53" xfId="0" applyNumberFormat="1" applyFont="1" applyFill="1" applyBorder="1" applyAlignment="1">
      <alignment horizontal="center" vertical="center" wrapText="1"/>
    </xf>
    <xf numFmtId="4" fontId="2" fillId="0" borderId="51" xfId="0" applyNumberFormat="1" applyFont="1" applyFill="1" applyBorder="1" applyAlignment="1">
      <alignment horizontal="center" vertical="center" wrapText="1"/>
    </xf>
    <xf numFmtId="4" fontId="2" fillId="0" borderId="53" xfId="0" applyNumberFormat="1" applyFont="1" applyFill="1" applyBorder="1" applyAlignment="1">
      <alignment horizontal="center" vertical="center" wrapText="1"/>
    </xf>
    <xf numFmtId="4" fontId="2" fillId="0" borderId="52" xfId="0" applyNumberFormat="1" applyFont="1" applyFill="1" applyBorder="1" applyAlignment="1">
      <alignment horizontal="center" vertical="center" wrapText="1"/>
    </xf>
    <xf numFmtId="4" fontId="2" fillId="0" borderId="53" xfId="0" applyNumberFormat="1" applyFont="1" applyFill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4" fontId="2" fillId="0" borderId="52" xfId="0" applyNumberFormat="1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0" fillId="7" borderId="32" xfId="0" applyFill="1" applyBorder="1" applyAlignment="1">
      <alignment horizontal="left" vertical="center" wrapText="1"/>
    </xf>
    <xf numFmtId="0" fontId="46" fillId="7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0" fontId="2" fillId="5" borderId="16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2" fillId="5" borderId="29" xfId="0" applyNumberFormat="1" applyFont="1" applyFill="1" applyBorder="1" applyAlignment="1">
      <alignment horizontal="center" vertical="center" wrapText="1"/>
    </xf>
    <xf numFmtId="0" fontId="2" fillId="5" borderId="24" xfId="0" applyNumberFormat="1" applyFont="1" applyFill="1" applyBorder="1" applyAlignment="1">
      <alignment horizontal="center" vertical="center" wrapText="1"/>
    </xf>
    <xf numFmtId="0" fontId="0" fillId="5" borderId="32" xfId="0" applyFill="1" applyBorder="1" applyAlignment="1">
      <alignment horizontal="left" vertical="center" wrapText="1"/>
    </xf>
    <xf numFmtId="0" fontId="47" fillId="5" borderId="17" xfId="0" applyFont="1" applyFill="1" applyBorder="1" applyAlignment="1">
      <alignment horizontal="center" vertical="center" wrapText="1"/>
    </xf>
    <xf numFmtId="4" fontId="47" fillId="5" borderId="17" xfId="0" applyNumberFormat="1" applyFont="1" applyFill="1" applyBorder="1" applyAlignment="1">
      <alignment horizontal="center" vertical="center" wrapText="1"/>
    </xf>
    <xf numFmtId="4" fontId="0" fillId="5" borderId="17" xfId="0" applyNumberFormat="1" applyFont="1" applyFill="1" applyBorder="1" applyAlignment="1">
      <alignment horizontal="center" vertical="center" wrapText="1"/>
    </xf>
    <xf numFmtId="0" fontId="48" fillId="5" borderId="17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 wrapText="1"/>
    </xf>
    <xf numFmtId="0" fontId="38" fillId="5" borderId="17" xfId="0" applyFont="1" applyFill="1" applyBorder="1" applyAlignment="1">
      <alignment horizontal="center" vertical="center" wrapText="1"/>
    </xf>
    <xf numFmtId="0" fontId="4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38" fillId="5" borderId="65" xfId="0" applyFont="1" applyFill="1" applyBorder="1" applyAlignment="1">
      <alignment horizontal="center" vertical="center" wrapText="1"/>
    </xf>
    <xf numFmtId="0" fontId="49" fillId="5" borderId="25" xfId="0" applyFont="1" applyFill="1" applyBorder="1" applyAlignment="1">
      <alignment horizontal="center" vertical="center" wrapText="1"/>
    </xf>
    <xf numFmtId="0" fontId="38" fillId="5" borderId="66" xfId="0" applyFont="1" applyFill="1" applyBorder="1" applyAlignment="1">
      <alignment horizontal="center" vertical="center" wrapText="1"/>
    </xf>
    <xf numFmtId="0" fontId="2" fillId="5" borderId="17" xfId="0" applyNumberFormat="1" applyFont="1" applyFill="1" applyBorder="1" applyAlignment="1">
      <alignment horizontal="center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0" fontId="2" fillId="5" borderId="18" xfId="0" applyNumberFormat="1" applyFont="1" applyFill="1" applyBorder="1" applyAlignment="1">
      <alignment horizontal="center" vertical="center" wrapText="1"/>
    </xf>
    <xf numFmtId="4" fontId="9" fillId="5" borderId="19" xfId="0" applyNumberFormat="1" applyFont="1" applyFill="1" applyBorder="1" applyAlignment="1">
      <alignment horizontal="center" vertical="center" wrapText="1"/>
    </xf>
    <xf numFmtId="4" fontId="2" fillId="5" borderId="19" xfId="0" applyNumberFormat="1" applyFont="1" applyFill="1" applyBorder="1" applyAlignment="1">
      <alignment horizontal="center" vertical="center" wrapText="1"/>
    </xf>
    <xf numFmtId="0" fontId="40" fillId="5" borderId="17" xfId="0" applyFont="1" applyFill="1" applyBorder="1" applyAlignment="1">
      <alignment horizontal="center" vertical="center"/>
    </xf>
    <xf numFmtId="0" fontId="2" fillId="5" borderId="25" xfId="0" applyNumberFormat="1" applyFont="1" applyFill="1" applyBorder="1" applyAlignment="1">
      <alignment horizontal="left" vertical="center" wrapText="1"/>
    </xf>
    <xf numFmtId="0" fontId="9" fillId="5" borderId="17" xfId="0" applyFont="1" applyFill="1" applyBorder="1" applyAlignment="1">
      <alignment horizontal="center" vertical="center" wrapText="1"/>
    </xf>
    <xf numFmtId="4" fontId="9" fillId="5" borderId="17" xfId="0" applyNumberFormat="1" applyFont="1" applyFill="1" applyBorder="1" applyAlignment="1">
      <alignment horizontal="center" vertical="center" wrapText="1"/>
    </xf>
    <xf numFmtId="4" fontId="2" fillId="5" borderId="25" xfId="0" applyNumberFormat="1" applyFont="1" applyFill="1" applyBorder="1" applyAlignment="1">
      <alignment horizontal="center" vertical="center" wrapText="1"/>
    </xf>
    <xf numFmtId="0" fontId="2" fillId="5" borderId="26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5" borderId="37" xfId="0" applyNumberFormat="1" applyFont="1" applyFill="1" applyBorder="1" applyAlignment="1">
      <alignment horizontal="center" vertical="center" wrapText="1"/>
    </xf>
    <xf numFmtId="0" fontId="2" fillId="5" borderId="17" xfId="0" applyNumberFormat="1" applyFont="1" applyFill="1" applyBorder="1" applyAlignment="1">
      <alignment horizontal="left" vertical="center" wrapText="1"/>
    </xf>
    <xf numFmtId="0" fontId="2" fillId="5" borderId="25" xfId="0" applyNumberFormat="1" applyFont="1" applyFill="1" applyBorder="1" applyAlignment="1">
      <alignment horizontal="center" vertical="center" wrapText="1"/>
    </xf>
    <xf numFmtId="0" fontId="2" fillId="5" borderId="63" xfId="0" applyFont="1" applyFill="1" applyBorder="1" applyAlignment="1">
      <alignment horizontal="center" vertical="center" wrapText="1"/>
    </xf>
    <xf numFmtId="0" fontId="45" fillId="5" borderId="61" xfId="0" applyFont="1" applyFill="1" applyBorder="1" applyAlignment="1">
      <alignment horizontal="center" vertical="center" wrapText="1"/>
    </xf>
    <xf numFmtId="0" fontId="40" fillId="5" borderId="17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43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4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0" fillId="5" borderId="0" xfId="0" applyNumberFormat="1" applyFill="1" applyAlignment="1">
      <alignment horizontal="center" wrapText="1"/>
    </xf>
    <xf numFmtId="0" fontId="2" fillId="5" borderId="0" xfId="0" applyNumberFormat="1" applyFont="1" applyFill="1" applyAlignment="1">
      <alignment horizontal="center" wrapText="1"/>
    </xf>
    <xf numFmtId="0" fontId="6" fillId="5" borderId="47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left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6" fillId="5" borderId="9" xfId="0" applyNumberFormat="1" applyFont="1" applyFill="1" applyBorder="1" applyAlignment="1">
      <alignment horizontal="center" vertical="center" wrapText="1"/>
    </xf>
    <xf numFmtId="0" fontId="21" fillId="5" borderId="0" xfId="0" applyFont="1" applyFill="1" applyAlignment="1">
      <alignment wrapText="1"/>
    </xf>
    <xf numFmtId="0" fontId="7" fillId="5" borderId="23" xfId="0" applyNumberFormat="1" applyFont="1" applyFill="1" applyBorder="1" applyAlignment="1">
      <alignment horizontal="center" vertical="center" wrapText="1"/>
    </xf>
    <xf numFmtId="0" fontId="7" fillId="5" borderId="4" xfId="0" applyNumberFormat="1" applyFont="1" applyFill="1" applyBorder="1" applyAlignment="1">
      <alignment horizontal="left" vertical="center" wrapText="1"/>
    </xf>
    <xf numFmtId="0" fontId="7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0" fontId="7" fillId="5" borderId="5" xfId="0" applyNumberFormat="1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39" fillId="5" borderId="15" xfId="0" applyFont="1" applyFill="1" applyBorder="1" applyAlignment="1">
      <alignment horizontal="center" vertical="center"/>
    </xf>
    <xf numFmtId="0" fontId="0" fillId="5" borderId="64" xfId="0" applyFill="1" applyBorder="1" applyAlignment="1">
      <alignment horizontal="center" vertical="center" wrapText="1"/>
    </xf>
    <xf numFmtId="0" fontId="39" fillId="5" borderId="17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left" vertical="center" wrapText="1"/>
    </xf>
    <xf numFmtId="14" fontId="40" fillId="5" borderId="17" xfId="0" applyNumberFormat="1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center" vertical="center" wrapText="1"/>
    </xf>
    <xf numFmtId="4" fontId="40" fillId="5" borderId="17" xfId="0" applyNumberFormat="1" applyFont="1" applyFill="1" applyBorder="1" applyAlignment="1">
      <alignment horizontal="center" vertical="center"/>
    </xf>
    <xf numFmtId="0" fontId="2" fillId="5" borderId="19" xfId="0" applyNumberFormat="1" applyFont="1" applyFill="1" applyBorder="1" applyAlignment="1">
      <alignment horizontal="center" vertical="center" wrapText="1"/>
    </xf>
    <xf numFmtId="0" fontId="0" fillId="5" borderId="17" xfId="0" applyNumberFormat="1" applyFont="1" applyFill="1" applyBorder="1" applyAlignment="1">
      <alignment horizontal="center" vertical="center" wrapText="1"/>
    </xf>
    <xf numFmtId="0" fontId="50" fillId="5" borderId="17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left" vertical="center" wrapText="1"/>
    </xf>
    <xf numFmtId="4" fontId="30" fillId="0" borderId="14" xfId="0" applyNumberFormat="1" applyFont="1" applyBorder="1" applyAlignment="1">
      <alignment horizontal="left" vertical="center" wrapText="1" shrinkToFit="1"/>
    </xf>
    <xf numFmtId="4" fontId="15" fillId="0" borderId="14" xfId="0" applyNumberFormat="1" applyFont="1" applyBorder="1" applyAlignment="1">
      <alignment horizontal="left" vertical="center" wrapText="1" shrinkToFit="1"/>
    </xf>
    <xf numFmtId="4" fontId="32" fillId="0" borderId="14" xfId="0" applyNumberFormat="1" applyFont="1" applyBorder="1" applyAlignment="1">
      <alignment horizontal="left" vertical="center" wrapText="1" shrinkToFit="1"/>
    </xf>
    <xf numFmtId="0" fontId="29" fillId="5" borderId="17" xfId="0" applyFont="1" applyFill="1" applyBorder="1" applyAlignment="1">
      <alignment horizontal="center" vertical="center" wrapText="1"/>
    </xf>
    <xf numFmtId="0" fontId="34" fillId="6" borderId="14" xfId="0" applyFont="1" applyFill="1" applyBorder="1" applyAlignment="1">
      <alignment horizontal="justify" vertical="center" wrapText="1"/>
    </xf>
    <xf numFmtId="0" fontId="34" fillId="5" borderId="14" xfId="0" applyFont="1" applyFill="1" applyBorder="1" applyAlignment="1">
      <alignment horizontal="justify" vertical="center" wrapText="1"/>
    </xf>
    <xf numFmtId="0" fontId="33" fillId="5" borderId="17" xfId="0" applyFont="1" applyFill="1" applyBorder="1" applyAlignment="1">
      <alignment horizontal="center" vertical="center" wrapText="1"/>
    </xf>
    <xf numFmtId="4" fontId="33" fillId="5" borderId="17" xfId="0" applyNumberFormat="1" applyFont="1" applyFill="1" applyBorder="1" applyAlignment="1">
      <alignment horizontal="center" vertical="center" wrapText="1"/>
    </xf>
    <xf numFmtId="4" fontId="32" fillId="5" borderId="17" xfId="0" applyNumberFormat="1" applyFont="1" applyFill="1" applyBorder="1" applyAlignment="1">
      <alignment horizontal="center" vertical="center" wrapText="1"/>
    </xf>
    <xf numFmtId="0" fontId="32" fillId="5" borderId="17" xfId="0" applyFont="1" applyFill="1" applyBorder="1" applyAlignment="1">
      <alignment horizontal="center" vertical="center"/>
    </xf>
    <xf numFmtId="0" fontId="33" fillId="5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32" fillId="0" borderId="19" xfId="0" applyNumberFormat="1" applyFont="1" applyFill="1" applyBorder="1" applyAlignment="1">
      <alignment horizontal="center" vertical="center" wrapText="1"/>
    </xf>
    <xf numFmtId="0" fontId="2" fillId="0" borderId="64" xfId="0" applyNumberFormat="1" applyFont="1" applyFill="1" applyBorder="1" applyAlignment="1">
      <alignment horizontal="left" vertical="center" wrapText="1"/>
    </xf>
    <xf numFmtId="4" fontId="29" fillId="5" borderId="17" xfId="0" applyNumberFormat="1" applyFont="1" applyFill="1" applyBorder="1" applyAlignment="1">
      <alignment horizontal="center" vertical="center" wrapText="1"/>
    </xf>
    <xf numFmtId="4" fontId="28" fillId="0" borderId="17" xfId="0" applyNumberFormat="1" applyFont="1" applyBorder="1" applyAlignment="1">
      <alignment horizontal="center" vertical="center" shrinkToFit="1"/>
    </xf>
    <xf numFmtId="4" fontId="30" fillId="0" borderId="17" xfId="0" applyNumberFormat="1" applyFont="1" applyBorder="1" applyAlignment="1">
      <alignment horizontal="center" vertical="center" wrapText="1" shrinkToFit="1"/>
    </xf>
    <xf numFmtId="4" fontId="51" fillId="0" borderId="17" xfId="0" applyNumberFormat="1" applyFont="1" applyBorder="1" applyAlignment="1">
      <alignment horizontal="left" vertical="center" wrapText="1" shrinkToFit="1"/>
    </xf>
    <xf numFmtId="4" fontId="30" fillId="0" borderId="17" xfId="0" applyNumberFormat="1" applyFont="1" applyBorder="1" applyAlignment="1">
      <alignment horizontal="left" vertical="center" wrapText="1" shrinkToFit="1"/>
    </xf>
    <xf numFmtId="4" fontId="52" fillId="0" borderId="17" xfId="0" applyNumberFormat="1" applyFont="1" applyBorder="1" applyAlignment="1">
      <alignment horizontal="left" vertical="center" wrapText="1" shrinkToFit="1"/>
    </xf>
    <xf numFmtId="4" fontId="0" fillId="0" borderId="17" xfId="0" applyNumberFormat="1" applyBorder="1" applyAlignment="1">
      <alignment horizontal="left" vertical="center" wrapText="1" shrinkToFit="1"/>
    </xf>
    <xf numFmtId="0" fontId="28" fillId="5" borderId="17" xfId="0" applyFont="1" applyFill="1" applyBorder="1" applyAlignment="1">
      <alignment horizontal="center" vertical="center" wrapText="1"/>
    </xf>
    <xf numFmtId="0" fontId="7" fillId="0" borderId="47" xfId="0" applyNumberFormat="1" applyFont="1" applyFill="1" applyBorder="1" applyAlignment="1">
      <alignment horizontal="center" vertical="center" wrapText="1"/>
    </xf>
    <xf numFmtId="0" fontId="6" fillId="0" borderId="58" xfId="0" applyNumberFormat="1" applyFont="1" applyFill="1" applyBorder="1" applyAlignment="1">
      <alignment horizontal="center" vertical="center" wrapText="1"/>
    </xf>
    <xf numFmtId="4" fontId="2" fillId="5" borderId="14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4" fontId="2" fillId="5" borderId="58" xfId="0" applyNumberFormat="1" applyFont="1" applyFill="1" applyBorder="1" applyAlignment="1">
      <alignment horizontal="center" vertical="center" wrapText="1"/>
    </xf>
    <xf numFmtId="4" fontId="2" fillId="5" borderId="28" xfId="0" applyNumberFormat="1" applyFont="1" applyFill="1" applyBorder="1" applyAlignment="1">
      <alignment horizontal="center" vertical="center" wrapText="1"/>
    </xf>
    <xf numFmtId="4" fontId="2" fillId="8" borderId="24" xfId="0" applyNumberFormat="1" applyFont="1" applyFill="1" applyBorder="1" applyAlignment="1">
      <alignment horizontal="center" vertical="center" wrapText="1"/>
    </xf>
    <xf numFmtId="4" fontId="2" fillId="8" borderId="16" xfId="0" applyNumberFormat="1" applyFont="1" applyFill="1" applyBorder="1" applyAlignment="1">
      <alignment horizontal="center" vertical="center" wrapText="1"/>
    </xf>
    <xf numFmtId="4" fontId="9" fillId="8" borderId="16" xfId="0" applyNumberFormat="1" applyFont="1" applyFill="1" applyBorder="1" applyAlignment="1">
      <alignment horizontal="center" vertical="center" wrapText="1"/>
    </xf>
    <xf numFmtId="4" fontId="2" fillId="8" borderId="38" xfId="0" applyNumberFormat="1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22" fillId="0" borderId="46" xfId="0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3" fontId="2" fillId="0" borderId="67" xfId="0" applyNumberFormat="1" applyFont="1" applyFill="1" applyBorder="1" applyAlignment="1">
      <alignment horizontal="center" vertical="center" wrapText="1"/>
    </xf>
    <xf numFmtId="3" fontId="2" fillId="0" borderId="47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4" fontId="2" fillId="0" borderId="67" xfId="0" applyNumberFormat="1" applyFont="1" applyFill="1" applyBorder="1" applyAlignment="1">
      <alignment horizontal="center" vertical="center" wrapText="1"/>
    </xf>
    <xf numFmtId="4" fontId="2" fillId="0" borderId="48" xfId="0" applyNumberFormat="1" applyFont="1" applyFill="1" applyBorder="1" applyAlignment="1">
      <alignment horizontal="center" vertical="center" wrapText="1"/>
    </xf>
    <xf numFmtId="4" fontId="2" fillId="5" borderId="35" xfId="0" applyNumberFormat="1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5" fillId="0" borderId="68" xfId="0" applyFont="1" applyFill="1" applyBorder="1" applyAlignment="1">
      <alignment horizontal="center" vertical="center" wrapText="1"/>
    </xf>
    <xf numFmtId="3" fontId="2" fillId="0" borderId="60" xfId="0" applyNumberFormat="1" applyFont="1" applyFill="1" applyBorder="1" applyAlignment="1">
      <alignment horizontal="center" vertical="center" wrapText="1"/>
    </xf>
    <xf numFmtId="3" fontId="2" fillId="0" borderId="70" xfId="0" applyNumberFormat="1" applyFont="1" applyFill="1" applyBorder="1" applyAlignment="1">
      <alignment horizontal="center" vertical="center" wrapText="1"/>
    </xf>
    <xf numFmtId="4" fontId="2" fillId="0" borderId="64" xfId="0" applyNumberFormat="1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2" fillId="0" borderId="57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55" xfId="0" applyNumberFormat="1" applyFont="1" applyFill="1" applyBorder="1" applyAlignment="1">
      <alignment horizontal="center" vertical="center" wrapText="1"/>
    </xf>
    <xf numFmtId="3" fontId="9" fillId="5" borderId="39" xfId="0" applyNumberFormat="1" applyFont="1" applyFill="1" applyBorder="1" applyAlignment="1">
      <alignment horizontal="center" vertical="center" wrapText="1"/>
    </xf>
    <xf numFmtId="3" fontId="2" fillId="5" borderId="69" xfId="0" applyNumberFormat="1" applyFont="1" applyFill="1" applyBorder="1" applyAlignment="1">
      <alignment horizontal="center" vertical="center" wrapText="1"/>
    </xf>
    <xf numFmtId="0" fontId="22" fillId="0" borderId="6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5" borderId="27" xfId="0" applyNumberFormat="1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 wrapText="1"/>
    </xf>
  </cellXfs>
  <cellStyles count="34">
    <cellStyle name="_ИП 17032006" xfId="1" xr:uid="{00000000-0005-0000-0000-000000000000}"/>
    <cellStyle name="_ИП СО 2006-2010 отпр 22 01 07" xfId="2" xr:uid="{00000000-0005-0000-0000-000001000000}"/>
    <cellStyle name="_ИП ФСК 10_10_07 куцанкиной" xfId="3" xr:uid="{00000000-0005-0000-0000-000002000000}"/>
    <cellStyle name="_ИП ФСК на 2008-2012 17 12 071" xfId="4" xr:uid="{00000000-0005-0000-0000-000003000000}"/>
    <cellStyle name="_Копия Прил 2(Показатели ИП)" xfId="5" xr:uid="{00000000-0005-0000-0000-000004000000}"/>
    <cellStyle name="_Прил1-1 (МГИ) (Дубинину) 22 01 07" xfId="6" xr:uid="{00000000-0005-0000-0000-000005000000}"/>
    <cellStyle name="_Программа СО 7-09 для СД от 29 марта" xfId="7" xr:uid="{00000000-0005-0000-0000-000006000000}"/>
    <cellStyle name="_Расшифровка по приоритетам_МРСК 2" xfId="8" xr:uid="{00000000-0005-0000-0000-000007000000}"/>
    <cellStyle name="_СО 2006-2010  Прил1-1 (Дубинину)" xfId="9" xr:uid="{00000000-0005-0000-0000-000008000000}"/>
    <cellStyle name="_Табл П2-5 (вар18-10-2006)" xfId="10" xr:uid="{00000000-0005-0000-0000-000009000000}"/>
    <cellStyle name="_ХОЛДИНГ_МРСК_09 10 2008" xfId="11" xr:uid="{00000000-0005-0000-0000-00000A000000}"/>
    <cellStyle name="1Normal" xfId="12" xr:uid="{00000000-0005-0000-0000-00000B000000}"/>
    <cellStyle name="Norma11l" xfId="13" xr:uid="{00000000-0005-0000-0000-00000C000000}"/>
    <cellStyle name="Normal_MACRO" xfId="14" xr:uid="{00000000-0005-0000-0000-00000D000000}"/>
    <cellStyle name="Обычный" xfId="0" builtinId="0"/>
    <cellStyle name="Обычный 10" xfId="15" xr:uid="{00000000-0005-0000-0000-00000F000000}"/>
    <cellStyle name="Обычный 2" xfId="16" xr:uid="{00000000-0005-0000-0000-000010000000}"/>
    <cellStyle name="Обычный 2 2" xfId="17" xr:uid="{00000000-0005-0000-0000-000011000000}"/>
    <cellStyle name="Обычный 2 2 2" xfId="18" xr:uid="{00000000-0005-0000-0000-000012000000}"/>
    <cellStyle name="Обычный 2 3" xfId="19" xr:uid="{00000000-0005-0000-0000-000013000000}"/>
    <cellStyle name="Обычный 23" xfId="20" xr:uid="{00000000-0005-0000-0000-000014000000}"/>
    <cellStyle name="Обычный 3" xfId="21" xr:uid="{00000000-0005-0000-0000-000015000000}"/>
    <cellStyle name="Обычный 3 2" xfId="22" xr:uid="{00000000-0005-0000-0000-000016000000}"/>
    <cellStyle name="Обычный 3 3" xfId="23" xr:uid="{00000000-0005-0000-0000-000017000000}"/>
    <cellStyle name="Обычный 4" xfId="24" xr:uid="{00000000-0005-0000-0000-000018000000}"/>
    <cellStyle name="Обычный 5" xfId="25" xr:uid="{00000000-0005-0000-0000-000019000000}"/>
    <cellStyle name="Обычный 6" xfId="26" xr:uid="{00000000-0005-0000-0000-00001A000000}"/>
    <cellStyle name="Процентный 2" xfId="27" xr:uid="{00000000-0005-0000-0000-00001B000000}"/>
    <cellStyle name="Стиль 1" xfId="28" xr:uid="{00000000-0005-0000-0000-00001C000000}"/>
    <cellStyle name="Тысячи [0]_Chart1 (Sales &amp; Costs)" xfId="29" xr:uid="{00000000-0005-0000-0000-00001D000000}"/>
    <cellStyle name="Тысячи_Chart1 (Sales &amp; Costs)" xfId="30" xr:uid="{00000000-0005-0000-0000-00001E000000}"/>
    <cellStyle name="Финансовый 2" xfId="31" xr:uid="{00000000-0005-0000-0000-00001F000000}"/>
    <cellStyle name="Финансовый 3" xfId="32" xr:uid="{00000000-0005-0000-0000-000020000000}"/>
    <cellStyle name="Финансовый 4" xfId="33" xr:uid="{00000000-0005-0000-0000-000021000000}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_AD.MRSK-C\AppData\Local\Microsoft\Windows\Temporary%20Internet%20Files\Content.Outlook\KXZI8PVK\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45;&#1061;.&#1055;&#1056;&#1048;&#1057;&#1054;&#1045;&#1044;&#1048;&#1053;&#1045;&#1053;&#1048;&#1045;%20(14.07.2017)\&#1057;&#1058;&#1040;&#1042;&#1050;&#1048;%20&#1087;&#1086;%20&#1058;&#1055;%20(2013-2021&#1075;&#1075;)\&#1057;&#1058;&#1040;&#1042;&#1050;&#1048;%202021\&#1060;&#1086;&#1088;&#1084;&#1072;%20&#1057;&#1045;&#1058;&#1071;&#1052;%20&#1058;&#1055;%20&#1092;&#1072;&#1082;&#1090;%202019%20(&#1086;&#1090;&#1087;&#1088;&#1072;&#1074;.%20&#1074;%20&#1044;&#1077;&#1087;&#1072;&#1088;&#1090;&#1072;&#1084;&#1077;&#1085;&#1090;%20&#1089;%20&#1088;&#1077;&#1082;&#1086;&#1085;&#1089;&#1090;&#1088;.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  <sheetName val="Прил.1(2019) город"/>
      <sheetName val="Прил.1(2019) село"/>
      <sheetName val="Прил 4"/>
    </sheetNames>
    <sheetDataSet>
      <sheetData sheetId="0">
        <row r="3">
          <cell r="A3" t="str">
            <v>Провод на существующей опоре, изолированный, сечением до 50  мм включительно</v>
          </cell>
          <cell r="C3" t="str">
            <v>до 15 кВт (включительно)</v>
          </cell>
        </row>
        <row r="4">
          <cell r="A4" t="str">
            <v>Провод на существующей опоре, изолированный, сечением от 50 до 100 мм включительно</v>
          </cell>
          <cell r="C4" t="str">
            <v>свыше 15 кВт до 150 кВт (включительно)</v>
          </cell>
        </row>
        <row r="5">
          <cell r="A5" t="str">
            <v>Провод на существующей опоре, изолированный, сечением от 100 до 200  мм включительно</v>
          </cell>
          <cell r="C5" t="str">
            <v>свыше 150 кВт до 670 кВт (включительно)</v>
          </cell>
        </row>
        <row r="6">
          <cell r="A6" t="str">
            <v>Провод на существующей опоре, неизолированный, сечением до 50  мм включительно</v>
          </cell>
          <cell r="C6" t="str">
            <v>свыше 670 кВт и менее 8900 кВт</v>
          </cell>
        </row>
        <row r="7">
          <cell r="A7" t="str">
            <v>Провод на существующей опоре, неизолированный, сечением от 50  мм до 100 мм включительно</v>
          </cell>
        </row>
        <row r="9">
          <cell r="A9" t="str">
            <v>Провод с установкой опоры, изолированный, сечением до 50 мм включительно</v>
          </cell>
        </row>
        <row r="10">
          <cell r="A10" t="str">
            <v>Провод с установкой опоры, изолированный, сечением от 50 до 100 мм включительно</v>
          </cell>
        </row>
        <row r="11">
          <cell r="A11" t="str">
            <v>Провод с установкой опоры, изолированный, сечением от 100 до 200 мм включительно</v>
          </cell>
        </row>
        <row r="12">
          <cell r="A12" t="str">
            <v>Провод с установкой опоры, неизолированный, сечением до 50 мм включительно</v>
          </cell>
        </row>
        <row r="13">
          <cell r="A13" t="str">
            <v>Провод с установкой опоры, неизолированный, сечением от 50 мм до 100 мм включительно</v>
          </cell>
        </row>
        <row r="15">
          <cell r="A15" t="str">
            <v>Кабель в траншее, многожильный, сечением до 50 мм включительно</v>
          </cell>
        </row>
        <row r="16">
          <cell r="A16" t="str">
            <v>Кабель в траншее, многожильный, сечением от 50 до 100 мм включительно</v>
          </cell>
        </row>
        <row r="17">
          <cell r="A17" t="str">
            <v>Кабель в траншее, многожильный, сечением от 100 до 200 мм включительно</v>
          </cell>
        </row>
        <row r="18">
          <cell r="A18" t="str">
            <v>Кабель в траншее, многожильный, сечением от 200 до 500 мм включительно</v>
          </cell>
        </row>
        <row r="20">
          <cell r="A20" t="str">
            <v>Кабель в трубе (асбестоцементной, стальной и др.), сечением  до 50 мм включительно</v>
          </cell>
        </row>
        <row r="21">
          <cell r="A21" t="str">
            <v>Кабель в трубе (асбестоцементной, стальной и др.), сечением от 50 до 100 мм включительно</v>
          </cell>
        </row>
        <row r="22">
          <cell r="A22" t="str">
            <v>Кабель в трубе (асбестоцементной, стальной и др.), сечением от 100 до 200 мм включительно</v>
          </cell>
        </row>
        <row r="23">
          <cell r="A23" t="str">
            <v>Кабель в трубе (асбестоцементной, стальной и др.), сечением от 200 до 500 мм включительно</v>
          </cell>
        </row>
        <row r="25">
          <cell r="A25" t="str">
            <v>Кабель в железобетонных лотках, многожильный,  от 50 до 100 мм включительно</v>
          </cell>
        </row>
        <row r="26">
          <cell r="A26" t="str">
            <v>Кабель в железобетонных лотках, многожильный,  от 100 до 200 мм включительно</v>
          </cell>
        </row>
        <row r="28">
          <cell r="A28" t="str">
            <v xml:space="preserve">ГНБ, кабель многожильный, сечением до 50 мм включительно </v>
          </cell>
        </row>
        <row r="29">
          <cell r="A29" t="str">
            <v xml:space="preserve">ГНБ, кабель многожильный, сечением от 50 до 100 мм включительно </v>
          </cell>
        </row>
        <row r="30">
          <cell r="A30" t="str">
            <v>ГНБ, кабель многожильный, сечением от 100 до 200 мм включительно</v>
          </cell>
        </row>
        <row r="31">
          <cell r="A31" t="str">
            <v xml:space="preserve">ГНБ, кабель многожильный, сечением от 200 до 500  мм включительно </v>
          </cell>
        </row>
        <row r="33">
          <cell r="A33" t="str">
            <v>Мачтовая ТП 63/6(10)/0,4 с трансформатором 63 кВА</v>
          </cell>
        </row>
        <row r="34">
          <cell r="A34" t="str">
            <v>Мачтовая ТП 100/6(10)/0,4 с трансформатором 100 кВА</v>
          </cell>
        </row>
        <row r="35">
          <cell r="A35" t="str">
            <v>Мачтовая ТП 250/6(10)/0,4 с трансформатором 63 кВА</v>
          </cell>
        </row>
        <row r="37">
          <cell r="A37" t="str">
            <v>КТП 25/6(10)/0,4кВ с трансформатором 25кВА</v>
          </cell>
        </row>
        <row r="38">
          <cell r="A38" t="str">
            <v>КТП 63/6(10)/0,4 с трансформатором 63 кВА</v>
          </cell>
        </row>
        <row r="39">
          <cell r="A39" t="str">
            <v>КТП 100/6(10)/0,4 с трансформатором 100 кВА</v>
          </cell>
        </row>
        <row r="40">
          <cell r="A40" t="str">
            <v>КТП 160/6(10)/0,4 с трансформатором 160 кВА</v>
          </cell>
        </row>
        <row r="41">
          <cell r="A41" t="str">
            <v>КТП 250/6(10)/0,4 с трансформатором 160 кВА</v>
          </cell>
        </row>
        <row r="42">
          <cell r="A42" t="str">
            <v>КТП 250/6(10)/0,4 с трансформатором 250 кВА</v>
          </cell>
        </row>
        <row r="43">
          <cell r="A43" t="str">
            <v>КТП 400/6(10)/0,4 с трансформатором 100 кВА</v>
          </cell>
        </row>
        <row r="44">
          <cell r="A44" t="str">
            <v>КТП 400/6(10)/0,4 с трансформатором 160 кВА</v>
          </cell>
        </row>
        <row r="45">
          <cell r="A45" t="str">
            <v>КТП 400/6(10)/0,4 с трансформатором 250 кВА</v>
          </cell>
        </row>
        <row r="46">
          <cell r="A46" t="str">
            <v>КТП 400/6(10)/0,4 с трансформатором 400 кВА</v>
          </cell>
        </row>
        <row r="47">
          <cell r="A47" t="str">
            <v>КТП 630/6(10)/0,4 с трансформатором 630кВА</v>
          </cell>
        </row>
        <row r="48">
          <cell r="A48" t="str">
            <v>КТП 250/6(10)/0,4 с 2 трансформаторами 250 кВА</v>
          </cell>
        </row>
        <row r="49">
          <cell r="A49" t="str">
            <v>КТП 630/6(10)/0,4 с 2 трансформаторами 630 кВА</v>
          </cell>
        </row>
        <row r="50">
          <cell r="A50" t="str">
            <v>КТП 630/6(10)/0,4 с 3 трансформаторами 250 кВА</v>
          </cell>
        </row>
        <row r="52">
          <cell r="A52" t="str">
            <v>ТП (кирпич) с трансформатором 400 кВА</v>
          </cell>
        </row>
        <row r="53">
          <cell r="A53" t="str">
            <v>ТП (кирпич) с 2 трансформаторами 160 кВА</v>
          </cell>
        </row>
        <row r="54">
          <cell r="A54" t="str">
            <v>ТП (кирпич) с 2 трансформаторами 400 кВА</v>
          </cell>
        </row>
        <row r="55">
          <cell r="A55" t="str">
            <v>ТП (кирпич) с 2 трансформаторами 630 кВА</v>
          </cell>
        </row>
        <row r="56">
          <cell r="A56" t="str">
            <v>ТП (кирпич) с 2 трансформаторами 1000 кВА</v>
          </cell>
        </row>
        <row r="58">
          <cell r="A58" t="str">
            <v>БКТП с 2 трансформаторами 630 кВА</v>
          </cell>
        </row>
        <row r="60">
          <cell r="A60" t="str">
            <v>Пункт учета и секционирования с односторонним питанием</v>
          </cell>
        </row>
        <row r="61">
          <cell r="A61" t="str">
            <v>Строительство распределительных трансформаторных подстанций  (РТП) с уровнем напряжения до 35 кВ)</v>
          </cell>
        </row>
        <row r="62">
          <cell r="A62" t="str">
            <v>Строительство центров питания, подстанций уровнем напряжения 35 кВ и выше (ПС)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4" unboundColumnsRight="1">
    <queryTableFields count="13">
      <queryTableField id="1" name="№" tableColumnId="49"/>
      <queryTableField id="2" name="Объект электросетевого хозяйства" tableColumnId="50"/>
      <queryTableField id="3" name="Год ввода объекта " tableColumnId="51"/>
      <queryTableField id="4" name="Уровень напряжения, кВ" tableColumnId="52"/>
      <queryTableField id="5" name="Протяженность (для линий электропередачи), м" tableColumnId="53"/>
      <queryTableField id="6" name="Максимальная мощность _x000a_(для ВЛ, КЛ, ТП, РТП и ПС), кВт;_x000a_Количество штук (для РП)" tableColumnId="54"/>
      <queryTableField id="7" name="Расходы на строительство объекта, тыс. руб. (без НДС)" tableColumnId="55"/>
      <queryTableField id="8" name="удельные расходы" tableColumnId="56"/>
      <queryTableField id="9" name="Дата и № договора ТП" tableColumnId="57"/>
      <queryTableField id="10" name="Заявитель по ТП " tableColumnId="58"/>
      <queryTableField id="11" name="Диапазон присоединяемой мощности_x000a_" tableColumnId="59"/>
      <queryTableField id="12" name="Дата и № договора подряда" tableColumnId="60"/>
      <queryTableField id="13" dataBound="0" tableColumnId="1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7D6260-5F0F-44AB-B467-082C40150395}" name="Г20203" displayName="Г20203" ref="A7:M184" totalsRowShown="0" headerRowDxfId="47" dataDxfId="45" headerRowBorderDxfId="46">
  <autoFilter ref="A7:M184" xr:uid="{00000000-0009-0000-0100-000001000000}"/>
  <tableColumns count="13">
    <tableColumn id="49" xr3:uid="{BEA7E742-0F06-4E0C-ADBC-1FEA49669278}" name="№" dataDxfId="44"/>
    <tableColumn id="50" xr3:uid="{F2576D12-CACE-4BFE-BBC8-BEA04B424229}" name="Объект электросетевого хозяйства" dataDxfId="43"/>
    <tableColumn id="51" xr3:uid="{61C16DA8-8506-4F02-A6AF-DB19E21718C0}" name="Год ввода объекта " dataDxfId="42"/>
    <tableColumn id="52" xr3:uid="{2C8B4377-661E-4DF4-9A5D-73D4B9A42B06}" name="Уровень напряжения, кВ" dataDxfId="41"/>
    <tableColumn id="53" xr3:uid="{4826634C-1274-4C8E-8379-2CE7E2FA6F35}" name="Протяженность (для линий электропередачи), метров/Количество пунктов секционирования, штук/Количество точек учета, штук_x000a_" dataDxfId="40"/>
    <tableColumn id="54" xr3:uid="{03E1C0A4-C238-4B47-AFE3-FF8B6C889902}" name="Максимальная мощность, кВт" dataDxfId="39"/>
    <tableColumn id="55" xr3:uid="{09ACBF87-C573-455B-B926-2CBFE51C5CC1}" name="Расходы на строительство объекта/на обеспечение средствами коммерческого учета электрической энергии (мощности), тыс. руб._x000a_" dataDxfId="38"/>
    <tableColumn id="56" xr3:uid="{E6266D72-6BC7-490C-BE69-4A1B0C0008C4}" name="удельные расходы _x000a_( на 1 км  - для ВЛ и КЛ; на 1 шт.  - для РП; _x000a_на  1 кВт - для ТП и РТП)" dataDxfId="37"/>
    <tableColumn id="57" xr3:uid="{CF38EDB1-BB27-4245-8396-0C54230EEF52}" name="Дата и № договора ТП" dataDxfId="36"/>
    <tableColumn id="58" xr3:uid="{F7322828-048F-4353-8157-497DACD29221}" name="Заявитель по ТП" dataDxfId="35"/>
    <tableColumn id="59" xr3:uid="{ABEF39E1-6BA7-4D86-ADCD-33555246D192}" name="Диапазон присоединяемой мощности" dataDxfId="34"/>
    <tableColumn id="60" xr3:uid="{2B5BC38F-D897-48FF-A0F5-D91D40AEE817}" name="Дата и № договора подряда" dataDxfId="33"/>
    <tableColumn id="1" xr3:uid="{8DE15455-F1A0-426F-98C6-42311D3B7D1D}" name="Столбец1" dataDxfId="3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Г2020" displayName="Г2020" ref="A7:M199" tableType="queryTable" totalsRowShown="0" headerRowDxfId="31" dataDxfId="29" headerRowBorderDxfId="30">
  <autoFilter ref="A7:M199" xr:uid="{00000000-0009-0000-0100-000001000000}"/>
  <tableColumns count="13">
    <tableColumn id="49" xr3:uid="{00000000-0010-0000-0000-000031000000}" uniqueName="49" name="№" queryTableFieldId="1" dataDxfId="28"/>
    <tableColumn id="50" xr3:uid="{00000000-0010-0000-0000-000032000000}" uniqueName="50" name="Объект электросетевого хозяйства" queryTableFieldId="2" dataDxfId="27"/>
    <tableColumn id="51" xr3:uid="{00000000-0010-0000-0000-000033000000}" uniqueName="51" name="Год ввода объекта " queryTableFieldId="3" dataDxfId="26"/>
    <tableColumn id="52" xr3:uid="{00000000-0010-0000-0000-000034000000}" uniqueName="52" name="Уровень напряжения, кВ" queryTableFieldId="4" dataDxfId="25"/>
    <tableColumn id="53" xr3:uid="{00000000-0010-0000-0000-000035000000}" uniqueName="53" name="Протяженность (для линий электропередачи), метров/Количество пунктов секционирования, штук/Количество точек учета, штук_x000a_" queryTableFieldId="5" dataDxfId="24"/>
    <tableColumn id="54" xr3:uid="{00000000-0010-0000-0000-000036000000}" uniqueName="54" name="Максимальная мощность, кВт" queryTableFieldId="6" dataDxfId="23"/>
    <tableColumn id="55" xr3:uid="{00000000-0010-0000-0000-000037000000}" uniqueName="55" name="Расходы на строительство объекта/на обеспечение средствами коммерческого учета электрической энергии (мощности), тыс. руб._x000a_" queryTableFieldId="7" dataDxfId="22"/>
    <tableColumn id="56" xr3:uid="{00000000-0010-0000-0000-000038000000}" uniqueName="56" name="удельные расходы _x000a_( на 1 км  - для ВЛ и КЛ; на 1 шт.  - для РП; _x000a_на  1 кВт - для ТП и РТП)" queryTableFieldId="8" dataDxfId="21"/>
    <tableColumn id="57" xr3:uid="{00000000-0010-0000-0000-000039000000}" uniqueName="57" name="Дата и № договора ТП" queryTableFieldId="9" dataDxfId="20"/>
    <tableColumn id="58" xr3:uid="{00000000-0010-0000-0000-00003A000000}" uniqueName="58" name="Заявитель по ТП" queryTableFieldId="10" dataDxfId="19"/>
    <tableColumn id="59" xr3:uid="{00000000-0010-0000-0000-00003B000000}" uniqueName="59" name="Диапазон присоединяемой мощности" queryTableFieldId="11" dataDxfId="18"/>
    <tableColumn id="60" xr3:uid="{00000000-0010-0000-0000-00003C000000}" uniqueName="60" name="Дата и № договора подряда" queryTableFieldId="12" dataDxfId="17"/>
    <tableColumn id="1" xr3:uid="{00000000-0010-0000-0000-000001000000}" uniqueName="1" name="Столбец1" queryTableFieldId="13" dataDxfId="1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Г20204" displayName="Г20204" ref="A7:M266" totalsRowShown="0" headerRowDxfId="15" dataDxfId="13" headerRowBorderDxfId="14">
  <autoFilter ref="A7:M266" xr:uid="{00000000-0009-0000-0100-000003000000}"/>
  <tableColumns count="13">
    <tableColumn id="49" xr3:uid="{00000000-0010-0000-0100-000031000000}" name="№" dataDxfId="12"/>
    <tableColumn id="50" xr3:uid="{00000000-0010-0000-0100-000032000000}" name="Объект электросетевого хозяйства" dataDxfId="11"/>
    <tableColumn id="51" xr3:uid="{00000000-0010-0000-0100-000033000000}" name="Год ввода объекта " dataDxfId="10"/>
    <tableColumn id="52" xr3:uid="{00000000-0010-0000-0100-000034000000}" name="Уровень напряжения, кВ" dataDxfId="9"/>
    <tableColumn id="53" xr3:uid="{00000000-0010-0000-0100-000035000000}" name="Протяженность (для линий электропередачи), метров/Количество пунктов секционирования, штук/Количество точек учета, штук_x000a_" dataDxfId="8"/>
    <tableColumn id="54" xr3:uid="{00000000-0010-0000-0100-000036000000}" name="Максимальная мощность, кВт" dataDxfId="7"/>
    <tableColumn id="55" xr3:uid="{00000000-0010-0000-0100-000037000000}" name="Расходы на строительство объекта/на обеспечение средствами коммерческого учета электрической энергии (мощности), тыс. руб._x000a_" dataDxfId="6"/>
    <tableColumn id="56" xr3:uid="{00000000-0010-0000-0100-000038000000}" name="удельные расходы _x000a_( на 1 км  - для ВЛ и КЛ; на 1 шт.  - для РП; _x000a_на  1 кВт - для ТП и РТП)" dataDxfId="5"/>
    <tableColumn id="57" xr3:uid="{00000000-0010-0000-0100-000039000000}" name="Дата и № договора ТП" dataDxfId="4"/>
    <tableColumn id="58" xr3:uid="{00000000-0010-0000-0100-00003A000000}" name="Заявитель по ТП" dataDxfId="3"/>
    <tableColumn id="59" xr3:uid="{00000000-0010-0000-0100-00003B000000}" name="Диапазон присоединяемой мощности" dataDxfId="2"/>
    <tableColumn id="60" xr3:uid="{00000000-0010-0000-0100-00003C000000}" name="Дата и № договора подряда" dataDxfId="1"/>
    <tableColumn id="1" xr3:uid="{00000000-0010-0000-0100-000001000000}" name="Столбец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F6B2C-743C-40B9-B2F9-DD367CA99E86}">
  <sheetPr>
    <tabColor rgb="FFFFFF00"/>
    <pageSetUpPr fitToPage="1"/>
  </sheetPr>
  <dimension ref="A1:W198"/>
  <sheetViews>
    <sheetView view="pageBreakPreview" topLeftCell="A67" zoomScale="70" zoomScaleNormal="70" zoomScaleSheetLayoutView="70" workbookViewId="0">
      <selection activeCell="A2" sqref="A2:L2"/>
    </sheetView>
  </sheetViews>
  <sheetFormatPr defaultColWidth="9.109375" defaultRowHeight="15.6" outlineLevelRow="2" x14ac:dyDescent="0.3"/>
  <cols>
    <col min="1" max="1" width="14.33203125" style="202" bestFit="1" customWidth="1"/>
    <col min="2" max="2" width="59.33203125" style="202" customWidth="1"/>
    <col min="3" max="3" width="10.44140625" style="202" bestFit="1" customWidth="1"/>
    <col min="4" max="4" width="13.5546875" style="202" bestFit="1" customWidth="1"/>
    <col min="5" max="5" width="16.5546875" style="202" customWidth="1"/>
    <col min="6" max="6" width="23.44140625" style="202" customWidth="1"/>
    <col min="7" max="7" width="18.44140625" style="202" customWidth="1"/>
    <col min="8" max="9" width="17.6640625" style="202" customWidth="1"/>
    <col min="10" max="10" width="25.6640625" style="202" customWidth="1"/>
    <col min="11" max="11" width="26.109375" style="202" customWidth="1"/>
    <col min="12" max="12" width="16.6640625" style="202" customWidth="1"/>
    <col min="13" max="13" width="81.109375" style="84" customWidth="1"/>
    <col min="14" max="14" width="23" style="48" bestFit="1" customWidth="1"/>
    <col min="15" max="15" width="29.33203125" style="48" bestFit="1" customWidth="1"/>
    <col min="16" max="16" width="53.6640625" style="48" customWidth="1"/>
    <col min="17" max="17" width="81.109375" style="48" customWidth="1"/>
    <col min="18" max="18" width="60.109375" style="48" customWidth="1"/>
    <col min="19" max="19" width="23.5546875" style="48" customWidth="1"/>
    <col min="20" max="20" width="79.33203125" style="48" customWidth="1"/>
    <col min="21" max="21" width="80.109375" style="48" customWidth="1"/>
    <col min="22" max="22" width="46.88671875" style="83" customWidth="1"/>
    <col min="23" max="23" width="35.44140625" style="83" customWidth="1"/>
    <col min="24" max="16384" width="9.109375" style="48"/>
  </cols>
  <sheetData>
    <row r="1" spans="1:23" x14ac:dyDescent="0.3">
      <c r="A1" s="424" t="s">
        <v>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8"/>
      <c r="V1" s="48"/>
      <c r="W1" s="48"/>
    </row>
    <row r="2" spans="1:23" ht="80.400000000000006" customHeight="1" x14ac:dyDescent="0.3">
      <c r="A2" s="424" t="s">
        <v>814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8"/>
      <c r="V2" s="48"/>
      <c r="W2" s="48"/>
    </row>
    <row r="3" spans="1:23" x14ac:dyDescent="0.3">
      <c r="A3" s="425"/>
      <c r="B3" s="425"/>
      <c r="C3" s="425"/>
      <c r="D3" s="425"/>
      <c r="E3" s="425"/>
      <c r="F3" s="425"/>
      <c r="G3" s="425"/>
      <c r="H3" s="425"/>
      <c r="M3" s="48"/>
      <c r="V3" s="48"/>
      <c r="W3" s="48"/>
    </row>
    <row r="4" spans="1:23" ht="77.25" customHeight="1" x14ac:dyDescent="0.3">
      <c r="A4" s="426" t="s">
        <v>573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50"/>
      <c r="V4" s="48"/>
      <c r="W4" s="48"/>
    </row>
    <row r="5" spans="1:23" ht="26.25" customHeight="1" x14ac:dyDescent="0.3">
      <c r="A5" s="425" t="s">
        <v>1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8"/>
      <c r="V5" s="48"/>
      <c r="W5" s="48"/>
    </row>
    <row r="6" spans="1:23" ht="21.6" thickBot="1" x14ac:dyDescent="0.35">
      <c r="A6" s="423" t="s">
        <v>2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8"/>
      <c r="V6" s="48"/>
      <c r="W6" s="48"/>
    </row>
    <row r="7" spans="1:23" ht="187.8" thickBot="1" x14ac:dyDescent="0.35">
      <c r="A7" s="3" t="s">
        <v>3</v>
      </c>
      <c r="B7" s="204" t="s">
        <v>4</v>
      </c>
      <c r="C7" s="3" t="s">
        <v>5</v>
      </c>
      <c r="D7" s="5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7" t="s">
        <v>14</v>
      </c>
      <c r="M7" s="51" t="s">
        <v>62</v>
      </c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3" s="60" customFormat="1" ht="16.2" thickBot="1" x14ac:dyDescent="0.35">
      <c r="A8" s="205">
        <v>1</v>
      </c>
      <c r="B8" s="203">
        <v>2</v>
      </c>
      <c r="C8" s="205">
        <v>3</v>
      </c>
      <c r="D8" s="55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7">
        <v>12</v>
      </c>
      <c r="M8" s="58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3" s="65" customFormat="1" ht="24" thickBot="1" x14ac:dyDescent="0.5">
      <c r="A9" s="61" t="s">
        <v>15</v>
      </c>
      <c r="B9" s="62" t="s">
        <v>16</v>
      </c>
      <c r="C9" s="63" t="s">
        <v>17</v>
      </c>
      <c r="D9" s="63" t="s">
        <v>17</v>
      </c>
      <c r="E9" s="63" t="s">
        <v>17</v>
      </c>
      <c r="F9" s="63" t="s">
        <v>17</v>
      </c>
      <c r="G9" s="63" t="s">
        <v>17</v>
      </c>
      <c r="H9" s="63" t="s">
        <v>17</v>
      </c>
      <c r="I9" s="63" t="s">
        <v>17</v>
      </c>
      <c r="J9" s="63" t="s">
        <v>17</v>
      </c>
      <c r="K9" s="63" t="s">
        <v>17</v>
      </c>
      <c r="L9" s="64" t="s">
        <v>17</v>
      </c>
      <c r="M9" s="58"/>
    </row>
    <row r="10" spans="1:23" ht="72.599999999999994" hidden="1" outlineLevel="1" thickBot="1" x14ac:dyDescent="0.35">
      <c r="A10" s="27" t="s">
        <v>19</v>
      </c>
      <c r="B10" s="28" t="s">
        <v>18</v>
      </c>
      <c r="C10" s="23">
        <v>2020</v>
      </c>
      <c r="D10" s="23" t="s">
        <v>26</v>
      </c>
      <c r="E10" s="17">
        <f>SUM(E11:E41)</f>
        <v>0</v>
      </c>
      <c r="F10" s="17">
        <f>SUM(F11:F41)</f>
        <v>0</v>
      </c>
      <c r="G10" s="17">
        <f>SUM(G11:G41)</f>
        <v>0</v>
      </c>
      <c r="H10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0" s="23" t="s">
        <v>17</v>
      </c>
      <c r="J10" s="23" t="s">
        <v>17</v>
      </c>
      <c r="K10" s="23" t="s">
        <v>17</v>
      </c>
      <c r="L10" s="24" t="s">
        <v>17</v>
      </c>
      <c r="M10" s="58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idden="1" outlineLevel="1" x14ac:dyDescent="0.3">
      <c r="A11" s="29" t="s">
        <v>19</v>
      </c>
      <c r="B11" s="30"/>
      <c r="C11" s="25"/>
      <c r="D11" s="25"/>
      <c r="E11" s="18"/>
      <c r="F11" s="18"/>
      <c r="G11" s="18"/>
      <c r="H11" s="18"/>
      <c r="I11" s="25"/>
      <c r="J11" s="25"/>
      <c r="K11" s="25"/>
      <c r="L11" s="26"/>
      <c r="M11" s="58"/>
      <c r="N11" s="52"/>
      <c r="O11" s="52"/>
      <c r="P11" s="52"/>
      <c r="Q11" s="52"/>
      <c r="R11" s="52"/>
      <c r="S11" s="52"/>
      <c r="T11" s="52"/>
      <c r="U11" s="52"/>
      <c r="V11" s="52"/>
      <c r="W11" s="52"/>
    </row>
    <row r="12" spans="1:23" hidden="1" outlineLevel="1" x14ac:dyDescent="0.3">
      <c r="A12" s="11" t="s">
        <v>19</v>
      </c>
      <c r="B12" s="36"/>
      <c r="C12" s="10"/>
      <c r="D12" s="10"/>
      <c r="E12" s="9"/>
      <c r="F12" s="9"/>
      <c r="G12" s="9"/>
      <c r="H12" s="9"/>
      <c r="I12" s="10"/>
      <c r="J12" s="10"/>
      <c r="K12" s="10"/>
      <c r="L12" s="12"/>
      <c r="M12" s="58"/>
      <c r="N12" s="52"/>
      <c r="O12" s="52"/>
      <c r="P12" s="52"/>
      <c r="Q12" s="52"/>
      <c r="R12" s="52"/>
      <c r="S12" s="52"/>
      <c r="T12" s="52"/>
      <c r="U12" s="52"/>
      <c r="V12" s="52"/>
      <c r="W12" s="52"/>
    </row>
    <row r="13" spans="1:23" hidden="1" outlineLevel="1" x14ac:dyDescent="0.3">
      <c r="A13" s="11" t="s">
        <v>19</v>
      </c>
      <c r="B13" s="36"/>
      <c r="C13" s="10"/>
      <c r="D13" s="10"/>
      <c r="E13" s="9"/>
      <c r="F13" s="9"/>
      <c r="G13" s="9"/>
      <c r="H13" s="9"/>
      <c r="I13" s="10"/>
      <c r="J13" s="10"/>
      <c r="K13" s="10"/>
      <c r="L13" s="12"/>
      <c r="M13" s="58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idden="1" outlineLevel="1" x14ac:dyDescent="0.3">
      <c r="A14" s="11" t="s">
        <v>19</v>
      </c>
      <c r="B14" s="36"/>
      <c r="C14" s="10"/>
      <c r="D14" s="10"/>
      <c r="E14" s="9"/>
      <c r="F14" s="9"/>
      <c r="G14" s="9"/>
      <c r="H14" s="9"/>
      <c r="I14" s="10"/>
      <c r="J14" s="10"/>
      <c r="K14" s="10"/>
      <c r="L14" s="12"/>
      <c r="M14" s="58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hidden="1" outlineLevel="1" x14ac:dyDescent="0.3">
      <c r="A15" s="11" t="s">
        <v>19</v>
      </c>
      <c r="B15" s="36"/>
      <c r="C15" s="10"/>
      <c r="D15" s="10"/>
      <c r="E15" s="9"/>
      <c r="F15" s="9"/>
      <c r="G15" s="9"/>
      <c r="H15" s="9"/>
      <c r="I15" s="10"/>
      <c r="J15" s="10"/>
      <c r="K15" s="10"/>
      <c r="L15" s="12"/>
      <c r="M15" s="58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hidden="1" outlineLevel="1" x14ac:dyDescent="0.3">
      <c r="A16" s="11" t="s">
        <v>19</v>
      </c>
      <c r="B16" s="36"/>
      <c r="C16" s="10"/>
      <c r="D16" s="10"/>
      <c r="E16" s="9"/>
      <c r="F16" s="9"/>
      <c r="G16" s="9"/>
      <c r="H16" s="9"/>
      <c r="I16" s="10"/>
      <c r="J16" s="10"/>
      <c r="K16" s="10"/>
      <c r="L16" s="12"/>
      <c r="M16" s="58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1:23" hidden="1" outlineLevel="1" x14ac:dyDescent="0.3">
      <c r="A17" s="11" t="s">
        <v>19</v>
      </c>
      <c r="B17" s="36"/>
      <c r="C17" s="10"/>
      <c r="D17" s="10"/>
      <c r="E17" s="9"/>
      <c r="F17" s="9"/>
      <c r="G17" s="9"/>
      <c r="H17" s="9"/>
      <c r="I17" s="10"/>
      <c r="J17" s="10"/>
      <c r="K17" s="10"/>
      <c r="L17" s="12"/>
      <c r="M17" s="58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3" hidden="1" outlineLevel="1" x14ac:dyDescent="0.3">
      <c r="A18" s="11" t="s">
        <v>19</v>
      </c>
      <c r="B18" s="36"/>
      <c r="C18" s="10"/>
      <c r="D18" s="10"/>
      <c r="E18" s="9"/>
      <c r="F18" s="9"/>
      <c r="G18" s="9"/>
      <c r="H18" s="9"/>
      <c r="I18" s="10"/>
      <c r="J18" s="10"/>
      <c r="K18" s="10"/>
      <c r="L18" s="12"/>
      <c r="M18" s="58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3" hidden="1" outlineLevel="1" x14ac:dyDescent="0.3">
      <c r="A19" s="11" t="s">
        <v>19</v>
      </c>
      <c r="B19" s="36"/>
      <c r="C19" s="10"/>
      <c r="D19" s="10"/>
      <c r="E19" s="9"/>
      <c r="F19" s="9"/>
      <c r="G19" s="9"/>
      <c r="H19" s="9"/>
      <c r="I19" s="10"/>
      <c r="J19" s="10"/>
      <c r="K19" s="10"/>
      <c r="L19" s="12"/>
      <c r="M19" s="58"/>
      <c r="N19" s="52"/>
      <c r="O19" s="52"/>
      <c r="P19" s="52"/>
      <c r="Q19" s="52"/>
      <c r="R19" s="52"/>
      <c r="S19" s="52"/>
      <c r="T19" s="52"/>
      <c r="U19" s="52"/>
      <c r="V19" s="52"/>
      <c r="W19" s="52"/>
    </row>
    <row r="20" spans="1:23" hidden="1" outlineLevel="1" x14ac:dyDescent="0.3">
      <c r="A20" s="11" t="s">
        <v>19</v>
      </c>
      <c r="B20" s="36"/>
      <c r="C20" s="10"/>
      <c r="D20" s="10"/>
      <c r="E20" s="9"/>
      <c r="F20" s="9"/>
      <c r="G20" s="9"/>
      <c r="H20" s="9"/>
      <c r="I20" s="10"/>
      <c r="J20" s="10"/>
      <c r="K20" s="10"/>
      <c r="L20" s="12"/>
      <c r="M20" s="58"/>
      <c r="N20" s="52"/>
      <c r="O20" s="52"/>
      <c r="P20" s="52"/>
      <c r="Q20" s="52"/>
      <c r="R20" s="52"/>
      <c r="S20" s="52"/>
      <c r="T20" s="52"/>
      <c r="U20" s="52"/>
      <c r="V20" s="52"/>
      <c r="W20" s="52"/>
    </row>
    <row r="21" spans="1:23" hidden="1" outlineLevel="1" x14ac:dyDescent="0.3">
      <c r="A21" s="11" t="s">
        <v>19</v>
      </c>
      <c r="B21" s="36"/>
      <c r="C21" s="10"/>
      <c r="D21" s="10"/>
      <c r="E21" s="9"/>
      <c r="F21" s="9"/>
      <c r="G21" s="9"/>
      <c r="H21" s="9"/>
      <c r="I21" s="10"/>
      <c r="J21" s="10"/>
      <c r="K21" s="10"/>
      <c r="L21" s="12"/>
      <c r="M21" s="58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 spans="1:23" hidden="1" outlineLevel="1" x14ac:dyDescent="0.3">
      <c r="A22" s="11" t="s">
        <v>19</v>
      </c>
      <c r="B22" s="36"/>
      <c r="C22" s="10"/>
      <c r="D22" s="10"/>
      <c r="E22" s="9"/>
      <c r="F22" s="9"/>
      <c r="G22" s="9"/>
      <c r="H22" s="9"/>
      <c r="I22" s="10"/>
      <c r="J22" s="10"/>
      <c r="K22" s="10"/>
      <c r="L22" s="12"/>
      <c r="M22" s="58"/>
      <c r="N22" s="52"/>
      <c r="O22" s="52"/>
      <c r="P22" s="52"/>
      <c r="Q22" s="52"/>
      <c r="R22" s="52"/>
      <c r="S22" s="52"/>
      <c r="T22" s="52"/>
      <c r="U22" s="52"/>
      <c r="V22" s="52"/>
      <c r="W22" s="52"/>
    </row>
    <row r="23" spans="1:23" hidden="1" outlineLevel="1" x14ac:dyDescent="0.3">
      <c r="A23" s="11" t="s">
        <v>19</v>
      </c>
      <c r="B23" s="36"/>
      <c r="C23" s="10"/>
      <c r="D23" s="10"/>
      <c r="E23" s="9"/>
      <c r="F23" s="9"/>
      <c r="G23" s="9"/>
      <c r="H23" s="9"/>
      <c r="I23" s="10"/>
      <c r="J23" s="10"/>
      <c r="K23" s="10"/>
      <c r="L23" s="12"/>
      <c r="M23" s="58"/>
      <c r="N23" s="52"/>
      <c r="O23" s="52"/>
      <c r="P23" s="52"/>
      <c r="Q23" s="52"/>
      <c r="R23" s="52"/>
      <c r="S23" s="52"/>
      <c r="T23" s="52"/>
      <c r="U23" s="52"/>
      <c r="V23" s="52"/>
      <c r="W23" s="52"/>
    </row>
    <row r="24" spans="1:23" hidden="1" outlineLevel="1" x14ac:dyDescent="0.3">
      <c r="A24" s="11" t="s">
        <v>19</v>
      </c>
      <c r="B24" s="36"/>
      <c r="C24" s="10"/>
      <c r="D24" s="10"/>
      <c r="E24" s="9"/>
      <c r="F24" s="9"/>
      <c r="G24" s="9"/>
      <c r="H24" s="9"/>
      <c r="I24" s="10"/>
      <c r="J24" s="10"/>
      <c r="K24" s="10"/>
      <c r="L24" s="12"/>
      <c r="M24" s="58"/>
      <c r="N24" s="52"/>
      <c r="O24" s="52"/>
      <c r="P24" s="52"/>
      <c r="Q24" s="52"/>
      <c r="R24" s="52"/>
      <c r="S24" s="52"/>
      <c r="T24" s="52"/>
      <c r="U24" s="52"/>
      <c r="V24" s="52"/>
      <c r="W24" s="52"/>
    </row>
    <row r="25" spans="1:23" hidden="1" outlineLevel="1" x14ac:dyDescent="0.3">
      <c r="A25" s="11" t="s">
        <v>19</v>
      </c>
      <c r="B25" s="36"/>
      <c r="C25" s="10"/>
      <c r="D25" s="10"/>
      <c r="E25" s="9"/>
      <c r="F25" s="9"/>
      <c r="G25" s="9"/>
      <c r="H25" s="9"/>
      <c r="I25" s="10"/>
      <c r="J25" s="10"/>
      <c r="K25" s="10"/>
      <c r="L25" s="12"/>
      <c r="M25" s="58"/>
      <c r="N25" s="52"/>
      <c r="O25" s="52"/>
      <c r="P25" s="52"/>
      <c r="Q25" s="52"/>
      <c r="R25" s="52"/>
      <c r="S25" s="52"/>
      <c r="T25" s="52"/>
      <c r="U25" s="52"/>
      <c r="V25" s="52"/>
      <c r="W25" s="52"/>
    </row>
    <row r="26" spans="1:23" hidden="1" outlineLevel="1" x14ac:dyDescent="0.3">
      <c r="A26" s="11" t="s">
        <v>19</v>
      </c>
      <c r="B26" s="36"/>
      <c r="C26" s="10"/>
      <c r="D26" s="10"/>
      <c r="E26" s="9"/>
      <c r="F26" s="9"/>
      <c r="G26" s="9"/>
      <c r="H26" s="9"/>
      <c r="I26" s="10"/>
      <c r="J26" s="10"/>
      <c r="K26" s="10"/>
      <c r="L26" s="12"/>
      <c r="M26" s="58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3" hidden="1" outlineLevel="1" x14ac:dyDescent="0.3">
      <c r="A27" s="11" t="s">
        <v>19</v>
      </c>
      <c r="B27" s="36"/>
      <c r="C27" s="10"/>
      <c r="D27" s="10"/>
      <c r="E27" s="9"/>
      <c r="F27" s="9"/>
      <c r="G27" s="9"/>
      <c r="H27" s="9"/>
      <c r="I27" s="10"/>
      <c r="J27" s="10"/>
      <c r="K27" s="10"/>
      <c r="L27" s="12"/>
      <c r="M27" s="58"/>
      <c r="N27" s="52"/>
      <c r="O27" s="52"/>
      <c r="P27" s="52"/>
      <c r="Q27" s="52"/>
      <c r="R27" s="52"/>
      <c r="S27" s="52"/>
      <c r="T27" s="52"/>
      <c r="U27" s="52"/>
      <c r="V27" s="52"/>
      <c r="W27" s="52"/>
    </row>
    <row r="28" spans="1:23" hidden="1" outlineLevel="1" x14ac:dyDescent="0.3">
      <c r="A28" s="11" t="s">
        <v>19</v>
      </c>
      <c r="B28" s="36"/>
      <c r="C28" s="10"/>
      <c r="D28" s="10"/>
      <c r="E28" s="9"/>
      <c r="F28" s="9"/>
      <c r="G28" s="9"/>
      <c r="H28" s="9"/>
      <c r="I28" s="10"/>
      <c r="J28" s="10"/>
      <c r="K28" s="10"/>
      <c r="L28" s="12"/>
      <c r="M28" s="58"/>
      <c r="N28" s="52"/>
      <c r="O28" s="52"/>
      <c r="P28" s="52"/>
      <c r="Q28" s="52"/>
      <c r="R28" s="52"/>
      <c r="S28" s="52"/>
      <c r="T28" s="52"/>
      <c r="U28" s="52"/>
      <c r="V28" s="52"/>
      <c r="W28" s="52"/>
    </row>
    <row r="29" spans="1:23" hidden="1" outlineLevel="1" x14ac:dyDescent="0.3">
      <c r="A29" s="11" t="s">
        <v>19</v>
      </c>
      <c r="B29" s="36"/>
      <c r="C29" s="10"/>
      <c r="D29" s="10"/>
      <c r="E29" s="9"/>
      <c r="F29" s="9"/>
      <c r="G29" s="9"/>
      <c r="H29" s="9"/>
      <c r="I29" s="10"/>
      <c r="J29" s="10"/>
      <c r="K29" s="10"/>
      <c r="L29" s="12"/>
      <c r="M29" s="58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1:23" hidden="1" outlineLevel="1" x14ac:dyDescent="0.3">
      <c r="A30" s="11" t="s">
        <v>19</v>
      </c>
      <c r="B30" s="36"/>
      <c r="C30" s="10"/>
      <c r="D30" s="10"/>
      <c r="E30" s="9"/>
      <c r="F30" s="9"/>
      <c r="G30" s="9"/>
      <c r="H30" s="9"/>
      <c r="I30" s="10"/>
      <c r="J30" s="10"/>
      <c r="K30" s="10"/>
      <c r="L30" s="12"/>
      <c r="M30" s="58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3" hidden="1" outlineLevel="1" x14ac:dyDescent="0.3">
      <c r="A31" s="11" t="s">
        <v>19</v>
      </c>
      <c r="B31" s="36"/>
      <c r="C31" s="10"/>
      <c r="D31" s="10"/>
      <c r="E31" s="9"/>
      <c r="F31" s="9"/>
      <c r="G31" s="9"/>
      <c r="H31" s="9"/>
      <c r="I31" s="10"/>
      <c r="J31" s="10"/>
      <c r="K31" s="10"/>
      <c r="L31" s="12"/>
      <c r="M31" s="58"/>
      <c r="N31" s="52"/>
      <c r="O31" s="52"/>
      <c r="P31" s="52"/>
      <c r="Q31" s="52"/>
      <c r="R31" s="52"/>
      <c r="S31" s="52"/>
      <c r="T31" s="52"/>
      <c r="U31" s="52"/>
      <c r="V31" s="52"/>
      <c r="W31" s="52"/>
    </row>
    <row r="32" spans="1:23" hidden="1" outlineLevel="1" x14ac:dyDescent="0.3">
      <c r="A32" s="11" t="s">
        <v>19</v>
      </c>
      <c r="B32" s="36"/>
      <c r="C32" s="10"/>
      <c r="D32" s="10"/>
      <c r="E32" s="9"/>
      <c r="F32" s="9"/>
      <c r="G32" s="9"/>
      <c r="H32" s="9"/>
      <c r="I32" s="10"/>
      <c r="J32" s="10"/>
      <c r="K32" s="10"/>
      <c r="L32" s="12"/>
      <c r="M32" s="58"/>
      <c r="N32" s="52"/>
      <c r="O32" s="52"/>
      <c r="P32" s="52"/>
      <c r="Q32" s="52"/>
      <c r="R32" s="52"/>
      <c r="S32" s="52"/>
      <c r="T32" s="52"/>
      <c r="U32" s="52"/>
      <c r="V32" s="52"/>
      <c r="W32" s="52"/>
    </row>
    <row r="33" spans="1:23" hidden="1" outlineLevel="1" x14ac:dyDescent="0.3">
      <c r="A33" s="11" t="s">
        <v>19</v>
      </c>
      <c r="B33" s="36"/>
      <c r="C33" s="10"/>
      <c r="D33" s="10"/>
      <c r="E33" s="9"/>
      <c r="F33" s="9"/>
      <c r="G33" s="9"/>
      <c r="H33" s="9"/>
      <c r="I33" s="10"/>
      <c r="J33" s="10"/>
      <c r="K33" s="10"/>
      <c r="L33" s="12"/>
      <c r="M33" s="58"/>
      <c r="N33" s="52"/>
      <c r="O33" s="52"/>
      <c r="P33" s="52"/>
      <c r="Q33" s="52"/>
      <c r="R33" s="52"/>
      <c r="S33" s="52"/>
      <c r="T33" s="52"/>
      <c r="U33" s="52"/>
      <c r="V33" s="52"/>
      <c r="W33" s="52"/>
    </row>
    <row r="34" spans="1:23" hidden="1" outlineLevel="1" x14ac:dyDescent="0.3">
      <c r="A34" s="11" t="s">
        <v>19</v>
      </c>
      <c r="B34" s="36"/>
      <c r="C34" s="10"/>
      <c r="D34" s="10"/>
      <c r="E34" s="9"/>
      <c r="F34" s="9"/>
      <c r="G34" s="9"/>
      <c r="H34" s="9"/>
      <c r="I34" s="10"/>
      <c r="J34" s="10"/>
      <c r="K34" s="10"/>
      <c r="L34" s="12"/>
      <c r="M34" s="58"/>
      <c r="N34" s="52"/>
      <c r="O34" s="52"/>
      <c r="P34" s="52"/>
      <c r="Q34" s="52"/>
      <c r="R34" s="52"/>
      <c r="S34" s="52"/>
      <c r="T34" s="52"/>
      <c r="U34" s="52"/>
      <c r="V34" s="52"/>
      <c r="W34" s="52"/>
    </row>
    <row r="35" spans="1:23" hidden="1" outlineLevel="1" x14ac:dyDescent="0.3">
      <c r="A35" s="11" t="s">
        <v>19</v>
      </c>
      <c r="B35" s="36"/>
      <c r="C35" s="10"/>
      <c r="D35" s="10"/>
      <c r="E35" s="9"/>
      <c r="F35" s="9"/>
      <c r="G35" s="9"/>
      <c r="H35" s="9"/>
      <c r="I35" s="10"/>
      <c r="J35" s="10"/>
      <c r="K35" s="10"/>
      <c r="L35" s="12"/>
      <c r="M35" s="58"/>
      <c r="N35" s="52"/>
      <c r="O35" s="52"/>
      <c r="P35" s="52"/>
      <c r="Q35" s="52"/>
      <c r="R35" s="52"/>
      <c r="S35" s="52"/>
      <c r="T35" s="52"/>
      <c r="U35" s="52"/>
      <c r="V35" s="52"/>
      <c r="W35" s="52"/>
    </row>
    <row r="36" spans="1:23" hidden="1" outlineLevel="1" x14ac:dyDescent="0.3">
      <c r="A36" s="11" t="s">
        <v>19</v>
      </c>
      <c r="B36" s="36"/>
      <c r="C36" s="10"/>
      <c r="D36" s="10"/>
      <c r="E36" s="9"/>
      <c r="F36" s="9"/>
      <c r="G36" s="9"/>
      <c r="H36" s="9"/>
      <c r="I36" s="10"/>
      <c r="J36" s="10"/>
      <c r="K36" s="10"/>
      <c r="L36" s="12"/>
      <c r="M36" s="58"/>
      <c r="N36" s="52"/>
      <c r="O36" s="52"/>
      <c r="P36" s="52"/>
      <c r="Q36" s="52"/>
      <c r="R36" s="52"/>
      <c r="S36" s="52"/>
      <c r="T36" s="52"/>
      <c r="U36" s="52"/>
      <c r="V36" s="52"/>
      <c r="W36" s="52"/>
    </row>
    <row r="37" spans="1:23" hidden="1" outlineLevel="1" x14ac:dyDescent="0.3">
      <c r="A37" s="11" t="s">
        <v>19</v>
      </c>
      <c r="B37" s="36"/>
      <c r="C37" s="10"/>
      <c r="D37" s="10"/>
      <c r="E37" s="9"/>
      <c r="F37" s="9"/>
      <c r="G37" s="9"/>
      <c r="H37" s="9"/>
      <c r="I37" s="10"/>
      <c r="J37" s="10"/>
      <c r="K37" s="10"/>
      <c r="L37" s="12"/>
      <c r="M37" s="58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hidden="1" outlineLevel="1" x14ac:dyDescent="0.3">
      <c r="A38" s="11" t="s">
        <v>19</v>
      </c>
      <c r="B38" s="36"/>
      <c r="C38" s="10"/>
      <c r="D38" s="10"/>
      <c r="E38" s="9"/>
      <c r="F38" s="9"/>
      <c r="G38" s="9"/>
      <c r="H38" s="9"/>
      <c r="I38" s="10"/>
      <c r="J38" s="10"/>
      <c r="K38" s="10"/>
      <c r="L38" s="12"/>
      <c r="M38" s="58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hidden="1" outlineLevel="1" x14ac:dyDescent="0.3">
      <c r="A39" s="11" t="s">
        <v>19</v>
      </c>
      <c r="B39" s="36"/>
      <c r="C39" s="10"/>
      <c r="D39" s="10"/>
      <c r="E39" s="9"/>
      <c r="F39" s="9"/>
      <c r="G39" s="9"/>
      <c r="H39" s="9"/>
      <c r="I39" s="10"/>
      <c r="J39" s="10"/>
      <c r="K39" s="10"/>
      <c r="L39" s="12"/>
      <c r="M39" s="58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idden="1" outlineLevel="1" x14ac:dyDescent="0.3">
      <c r="A40" s="11" t="s">
        <v>19</v>
      </c>
      <c r="B40" s="36"/>
      <c r="C40" s="10"/>
      <c r="D40" s="10"/>
      <c r="E40" s="9"/>
      <c r="F40" s="9"/>
      <c r="G40" s="9"/>
      <c r="H40" s="9"/>
      <c r="I40" s="10"/>
      <c r="J40" s="10"/>
      <c r="K40" s="10"/>
      <c r="L40" s="12"/>
      <c r="M40" s="58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ht="16.2" hidden="1" outlineLevel="1" thickBot="1" x14ac:dyDescent="0.35">
      <c r="A41" s="13" t="s">
        <v>19</v>
      </c>
      <c r="B41" s="40"/>
      <c r="C41" s="15"/>
      <c r="D41" s="15"/>
      <c r="E41" s="14"/>
      <c r="F41" s="14"/>
      <c r="G41" s="14"/>
      <c r="H41" s="14"/>
      <c r="I41" s="15"/>
      <c r="J41" s="15"/>
      <c r="K41" s="15"/>
      <c r="L41" s="16"/>
      <c r="M41" s="58"/>
      <c r="N41" s="52"/>
      <c r="O41" s="52"/>
      <c r="P41" s="52"/>
      <c r="Q41" s="52"/>
      <c r="R41" s="52"/>
      <c r="S41" s="52"/>
      <c r="T41" s="52"/>
      <c r="U41" s="52"/>
      <c r="V41" s="52"/>
      <c r="W41" s="52"/>
    </row>
    <row r="42" spans="1:23" ht="72.599999999999994" collapsed="1" thickBot="1" x14ac:dyDescent="0.35">
      <c r="A42" s="27" t="s">
        <v>21</v>
      </c>
      <c r="B42" s="28" t="s">
        <v>20</v>
      </c>
      <c r="C42" s="23">
        <v>2019</v>
      </c>
      <c r="D42" s="23">
        <f>D43</f>
        <v>0.4</v>
      </c>
      <c r="E42" s="17">
        <f>SUM(E43:E108)</f>
        <v>3860</v>
      </c>
      <c r="F42" s="17">
        <f>SUM(F43:F108)</f>
        <v>625</v>
      </c>
      <c r="G42" s="17">
        <f>SUM(G43:G108)</f>
        <v>1346.1598199999999</v>
      </c>
      <c r="H42" s="17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0.3487460673575129</v>
      </c>
      <c r="I42" s="23" t="s">
        <v>17</v>
      </c>
      <c r="J42" s="23" t="s">
        <v>17</v>
      </c>
      <c r="K42" s="23" t="s">
        <v>17</v>
      </c>
      <c r="L42" s="24" t="s">
        <v>17</v>
      </c>
      <c r="M42" s="58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ht="40.799999999999997" customHeight="1" x14ac:dyDescent="0.3">
      <c r="A43" s="29" t="s">
        <v>21</v>
      </c>
      <c r="B43" s="398" t="s">
        <v>704</v>
      </c>
      <c r="C43" s="166">
        <v>2019</v>
      </c>
      <c r="D43" s="166">
        <v>0.4</v>
      </c>
      <c r="E43" s="167">
        <v>130</v>
      </c>
      <c r="F43" s="166">
        <v>10</v>
      </c>
      <c r="G43" s="167">
        <v>35.347339999999996</v>
      </c>
      <c r="H43" s="395">
        <f>G43/F43</f>
        <v>3.5347339999999994</v>
      </c>
      <c r="I43" s="168" t="s">
        <v>705</v>
      </c>
      <c r="J43" s="384" t="s">
        <v>706</v>
      </c>
      <c r="K43" s="169" t="s">
        <v>163</v>
      </c>
      <c r="L43" s="170" t="s">
        <v>164</v>
      </c>
      <c r="M43" s="396" t="s">
        <v>707</v>
      </c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ht="40.799999999999997" customHeight="1" x14ac:dyDescent="0.3">
      <c r="A44" s="11" t="s">
        <v>21</v>
      </c>
      <c r="B44" s="399" t="s">
        <v>708</v>
      </c>
      <c r="C44" s="166">
        <v>2019</v>
      </c>
      <c r="D44" s="166">
        <v>0.4</v>
      </c>
      <c r="E44" s="167">
        <v>250</v>
      </c>
      <c r="F44" s="166">
        <v>15</v>
      </c>
      <c r="G44" s="167">
        <v>51.588459999999998</v>
      </c>
      <c r="H44" s="395">
        <f t="shared" ref="H44:H76" si="0">G44/F44</f>
        <v>3.4392306666666665</v>
      </c>
      <c r="I44" s="168" t="s">
        <v>709</v>
      </c>
      <c r="J44" s="384" t="s">
        <v>710</v>
      </c>
      <c r="K44" s="169" t="s">
        <v>163</v>
      </c>
      <c r="L44" s="170" t="s">
        <v>164</v>
      </c>
      <c r="M44" s="396" t="s">
        <v>711</v>
      </c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ht="40.799999999999997" customHeight="1" x14ac:dyDescent="0.3">
      <c r="A45" s="11" t="s">
        <v>21</v>
      </c>
      <c r="B45" s="398" t="s">
        <v>712</v>
      </c>
      <c r="C45" s="166">
        <v>2019</v>
      </c>
      <c r="D45" s="166">
        <v>0.4</v>
      </c>
      <c r="E45" s="167">
        <v>100</v>
      </c>
      <c r="F45" s="166">
        <v>8</v>
      </c>
      <c r="G45" s="167">
        <v>19.049910000000001</v>
      </c>
      <c r="H45" s="395">
        <f t="shared" si="0"/>
        <v>2.3812387500000001</v>
      </c>
      <c r="I45" s="168" t="s">
        <v>713</v>
      </c>
      <c r="J45" s="166" t="s">
        <v>714</v>
      </c>
      <c r="K45" s="169" t="s">
        <v>163</v>
      </c>
      <c r="L45" s="170" t="s">
        <v>164</v>
      </c>
      <c r="M45" s="396" t="s">
        <v>715</v>
      </c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ht="40.799999999999997" customHeight="1" x14ac:dyDescent="0.3">
      <c r="A46" s="11" t="s">
        <v>21</v>
      </c>
      <c r="B46" s="400" t="s">
        <v>716</v>
      </c>
      <c r="C46" s="166">
        <v>2019</v>
      </c>
      <c r="D46" s="166">
        <v>0.4</v>
      </c>
      <c r="E46" s="167">
        <v>95</v>
      </c>
      <c r="F46" s="166">
        <v>15</v>
      </c>
      <c r="G46" s="167">
        <v>24.309939999999997</v>
      </c>
      <c r="H46" s="395">
        <f t="shared" si="0"/>
        <v>1.6206626666666666</v>
      </c>
      <c r="I46" s="168" t="s">
        <v>717</v>
      </c>
      <c r="J46" s="166" t="s">
        <v>718</v>
      </c>
      <c r="K46" s="169" t="s">
        <v>163</v>
      </c>
      <c r="L46" s="170" t="s">
        <v>164</v>
      </c>
      <c r="M46" s="396" t="s">
        <v>711</v>
      </c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ht="40.799999999999997" customHeight="1" x14ac:dyDescent="0.3">
      <c r="A47" s="11" t="s">
        <v>21</v>
      </c>
      <c r="B47" s="398" t="s">
        <v>719</v>
      </c>
      <c r="C47" s="166">
        <v>2019</v>
      </c>
      <c r="D47" s="166">
        <v>0.4</v>
      </c>
      <c r="E47" s="167">
        <v>100</v>
      </c>
      <c r="F47" s="166">
        <v>15</v>
      </c>
      <c r="G47" s="167">
        <v>22.427229999999998</v>
      </c>
      <c r="H47" s="395">
        <f t="shared" si="0"/>
        <v>1.4951486666666665</v>
      </c>
      <c r="I47" s="168" t="s">
        <v>720</v>
      </c>
      <c r="J47" s="166" t="s">
        <v>721</v>
      </c>
      <c r="K47" s="169" t="s">
        <v>163</v>
      </c>
      <c r="L47" s="170" t="s">
        <v>164</v>
      </c>
      <c r="M47" s="396" t="s">
        <v>707</v>
      </c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ht="40.799999999999997" customHeight="1" x14ac:dyDescent="0.3">
      <c r="A48" s="11" t="s">
        <v>21</v>
      </c>
      <c r="B48" s="401" t="s">
        <v>722</v>
      </c>
      <c r="C48" s="166">
        <v>2019</v>
      </c>
      <c r="D48" s="166">
        <v>0.4</v>
      </c>
      <c r="E48" s="167">
        <v>110</v>
      </c>
      <c r="F48" s="166">
        <v>10</v>
      </c>
      <c r="G48" s="167">
        <v>22.321709999999999</v>
      </c>
      <c r="H48" s="395">
        <f t="shared" si="0"/>
        <v>2.2321710000000001</v>
      </c>
      <c r="I48" s="168" t="s">
        <v>723</v>
      </c>
      <c r="J48" s="166" t="s">
        <v>724</v>
      </c>
      <c r="K48" s="169" t="s">
        <v>163</v>
      </c>
      <c r="L48" s="170" t="s">
        <v>164</v>
      </c>
      <c r="M48" s="396" t="s">
        <v>707</v>
      </c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ht="40.799999999999997" customHeight="1" x14ac:dyDescent="0.3">
      <c r="A49" s="11" t="s">
        <v>21</v>
      </c>
      <c r="B49" s="400" t="s">
        <v>725</v>
      </c>
      <c r="C49" s="166">
        <v>2019</v>
      </c>
      <c r="D49" s="166">
        <v>0.4</v>
      </c>
      <c r="E49" s="167">
        <v>265</v>
      </c>
      <c r="F49" s="166">
        <v>14</v>
      </c>
      <c r="G49" s="167">
        <v>49.655970000000003</v>
      </c>
      <c r="H49" s="395">
        <f t="shared" si="0"/>
        <v>3.5468550000000003</v>
      </c>
      <c r="I49" s="168" t="s">
        <v>726</v>
      </c>
      <c r="J49" s="166" t="s">
        <v>727</v>
      </c>
      <c r="K49" s="169" t="s">
        <v>163</v>
      </c>
      <c r="L49" s="170" t="s">
        <v>164</v>
      </c>
      <c r="M49" s="396" t="s">
        <v>707</v>
      </c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t="40.799999999999997" customHeight="1" x14ac:dyDescent="0.3">
      <c r="A50" s="11" t="s">
        <v>21</v>
      </c>
      <c r="B50" s="400" t="s">
        <v>728</v>
      </c>
      <c r="C50" s="166">
        <v>2019</v>
      </c>
      <c r="D50" s="166">
        <v>0.4</v>
      </c>
      <c r="E50" s="167">
        <v>60</v>
      </c>
      <c r="F50" s="166">
        <v>15</v>
      </c>
      <c r="G50" s="167">
        <v>38.573260000000005</v>
      </c>
      <c r="H50" s="395">
        <f t="shared" si="0"/>
        <v>2.571550666666667</v>
      </c>
      <c r="I50" s="168" t="s">
        <v>729</v>
      </c>
      <c r="J50" s="166" t="s">
        <v>730</v>
      </c>
      <c r="K50" s="169" t="s">
        <v>163</v>
      </c>
      <c r="L50" s="170" t="s">
        <v>164</v>
      </c>
      <c r="M50" s="396" t="s">
        <v>711</v>
      </c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t="40.799999999999997" customHeight="1" x14ac:dyDescent="0.3">
      <c r="A51" s="11" t="s">
        <v>21</v>
      </c>
      <c r="B51" s="399" t="s">
        <v>731</v>
      </c>
      <c r="C51" s="166">
        <v>2019</v>
      </c>
      <c r="D51" s="166">
        <v>0.4</v>
      </c>
      <c r="E51" s="167">
        <v>50</v>
      </c>
      <c r="F51" s="166">
        <v>15</v>
      </c>
      <c r="G51" s="167">
        <v>10.897129999999999</v>
      </c>
      <c r="H51" s="395">
        <f t="shared" si="0"/>
        <v>0.72647533333333325</v>
      </c>
      <c r="I51" s="168" t="s">
        <v>732</v>
      </c>
      <c r="J51" s="166" t="s">
        <v>733</v>
      </c>
      <c r="K51" s="169" t="s">
        <v>163</v>
      </c>
      <c r="L51" s="170" t="s">
        <v>164</v>
      </c>
      <c r="M51" s="396" t="s">
        <v>707</v>
      </c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t="40.799999999999997" customHeight="1" x14ac:dyDescent="0.3">
      <c r="A52" s="11" t="s">
        <v>21</v>
      </c>
      <c r="B52" s="399" t="s">
        <v>734</v>
      </c>
      <c r="C52" s="166">
        <v>2019</v>
      </c>
      <c r="D52" s="166">
        <v>0.4</v>
      </c>
      <c r="E52" s="167">
        <v>95</v>
      </c>
      <c r="F52" s="166">
        <v>25</v>
      </c>
      <c r="G52" s="167">
        <v>15.44899</v>
      </c>
      <c r="H52" s="395">
        <f t="shared" si="0"/>
        <v>0.61795960000000005</v>
      </c>
      <c r="I52" s="168" t="s">
        <v>735</v>
      </c>
      <c r="J52" s="166" t="s">
        <v>736</v>
      </c>
      <c r="K52" s="169" t="s">
        <v>165</v>
      </c>
      <c r="L52" s="170" t="s">
        <v>164</v>
      </c>
      <c r="M52" s="396" t="s">
        <v>707</v>
      </c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t="40.799999999999997" customHeight="1" x14ac:dyDescent="0.3">
      <c r="A53" s="11" t="s">
        <v>21</v>
      </c>
      <c r="B53" s="398" t="s">
        <v>737</v>
      </c>
      <c r="C53" s="166">
        <v>2019</v>
      </c>
      <c r="D53" s="166">
        <v>0.4</v>
      </c>
      <c r="E53" s="167">
        <v>230</v>
      </c>
      <c r="F53" s="166">
        <v>58</v>
      </c>
      <c r="G53" s="167">
        <v>59.749199999999995</v>
      </c>
      <c r="H53" s="395">
        <f t="shared" si="0"/>
        <v>1.0301586206896551</v>
      </c>
      <c r="I53" s="168" t="s">
        <v>738</v>
      </c>
      <c r="J53" s="166" t="s">
        <v>739</v>
      </c>
      <c r="K53" s="169" t="s">
        <v>165</v>
      </c>
      <c r="L53" s="170" t="s">
        <v>164</v>
      </c>
      <c r="M53" s="396" t="s">
        <v>711</v>
      </c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t="40.799999999999997" customHeight="1" x14ac:dyDescent="0.3">
      <c r="A54" s="11" t="s">
        <v>21</v>
      </c>
      <c r="B54" s="399" t="s">
        <v>740</v>
      </c>
      <c r="C54" s="166">
        <v>2019</v>
      </c>
      <c r="D54" s="166">
        <v>0.4</v>
      </c>
      <c r="E54" s="167">
        <v>40</v>
      </c>
      <c r="F54" s="166">
        <v>15</v>
      </c>
      <c r="G54" s="167">
        <v>6.8863700000000003</v>
      </c>
      <c r="H54" s="395">
        <f t="shared" si="0"/>
        <v>0.45909133333333335</v>
      </c>
      <c r="I54" s="168" t="s">
        <v>741</v>
      </c>
      <c r="J54" s="166" t="s">
        <v>742</v>
      </c>
      <c r="K54" s="169" t="s">
        <v>163</v>
      </c>
      <c r="L54" s="170" t="s">
        <v>164</v>
      </c>
      <c r="M54" s="396" t="s">
        <v>715</v>
      </c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ht="40.799999999999997" customHeight="1" x14ac:dyDescent="0.3">
      <c r="A55" s="11" t="s">
        <v>21</v>
      </c>
      <c r="B55" s="398" t="s">
        <v>743</v>
      </c>
      <c r="C55" s="166">
        <v>2019</v>
      </c>
      <c r="D55" s="166">
        <v>0.4</v>
      </c>
      <c r="E55" s="167">
        <v>90</v>
      </c>
      <c r="F55" s="166">
        <v>15</v>
      </c>
      <c r="G55" s="167">
        <v>29.16872</v>
      </c>
      <c r="H55" s="395">
        <f t="shared" si="0"/>
        <v>1.9445813333333333</v>
      </c>
      <c r="I55" s="168" t="s">
        <v>744</v>
      </c>
      <c r="J55" s="166" t="s">
        <v>745</v>
      </c>
      <c r="K55" s="169" t="s">
        <v>163</v>
      </c>
      <c r="L55" s="170" t="s">
        <v>164</v>
      </c>
      <c r="M55" s="396" t="s">
        <v>711</v>
      </c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ht="40.799999999999997" customHeight="1" x14ac:dyDescent="0.3">
      <c r="A56" s="11" t="s">
        <v>21</v>
      </c>
      <c r="B56" s="398" t="s">
        <v>746</v>
      </c>
      <c r="C56" s="166">
        <v>2019</v>
      </c>
      <c r="D56" s="166">
        <v>0.4</v>
      </c>
      <c r="E56" s="167">
        <v>80</v>
      </c>
      <c r="F56" s="166">
        <v>15</v>
      </c>
      <c r="G56" s="167">
        <v>62.858870000000003</v>
      </c>
      <c r="H56" s="395">
        <f t="shared" si="0"/>
        <v>4.1905913333333338</v>
      </c>
      <c r="I56" s="168" t="s">
        <v>747</v>
      </c>
      <c r="J56" s="166" t="s">
        <v>748</v>
      </c>
      <c r="K56" s="169" t="s">
        <v>163</v>
      </c>
      <c r="L56" s="170" t="s">
        <v>164</v>
      </c>
      <c r="M56" s="396" t="s">
        <v>715</v>
      </c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ht="40.799999999999997" customHeight="1" x14ac:dyDescent="0.3">
      <c r="A57" s="11" t="s">
        <v>21</v>
      </c>
      <c r="B57" s="398" t="s">
        <v>749</v>
      </c>
      <c r="C57" s="166">
        <v>2019</v>
      </c>
      <c r="D57" s="166">
        <v>0.23</v>
      </c>
      <c r="E57" s="167">
        <v>30</v>
      </c>
      <c r="F57" s="166">
        <v>10</v>
      </c>
      <c r="G57" s="167">
        <v>8.8926700000000007</v>
      </c>
      <c r="H57" s="395">
        <f t="shared" si="0"/>
        <v>0.88926700000000003</v>
      </c>
      <c r="I57" s="168" t="s">
        <v>750</v>
      </c>
      <c r="J57" s="166" t="s">
        <v>751</v>
      </c>
      <c r="K57" s="169" t="s">
        <v>163</v>
      </c>
      <c r="L57" s="170" t="s">
        <v>164</v>
      </c>
      <c r="M57" s="396" t="s">
        <v>752</v>
      </c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ht="40.799999999999997" customHeight="1" x14ac:dyDescent="0.3">
      <c r="A58" s="11" t="s">
        <v>21</v>
      </c>
      <c r="B58" s="400" t="s">
        <v>753</v>
      </c>
      <c r="C58" s="166">
        <v>2019</v>
      </c>
      <c r="D58" s="166">
        <v>0.4</v>
      </c>
      <c r="E58" s="167">
        <v>120</v>
      </c>
      <c r="F58" s="166">
        <v>15</v>
      </c>
      <c r="G58" s="167">
        <v>24.659590000000001</v>
      </c>
      <c r="H58" s="395">
        <f t="shared" si="0"/>
        <v>1.6439726666666667</v>
      </c>
      <c r="I58" s="168" t="s">
        <v>754</v>
      </c>
      <c r="J58" s="166" t="s">
        <v>755</v>
      </c>
      <c r="K58" s="169" t="s">
        <v>163</v>
      </c>
      <c r="L58" s="170" t="s">
        <v>164</v>
      </c>
      <c r="M58" s="396" t="s">
        <v>707</v>
      </c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ht="40.799999999999997" customHeight="1" x14ac:dyDescent="0.3">
      <c r="A59" s="11" t="s">
        <v>21</v>
      </c>
      <c r="B59" s="399" t="s">
        <v>756</v>
      </c>
      <c r="C59" s="384">
        <v>2019</v>
      </c>
      <c r="D59" s="166">
        <v>0.23</v>
      </c>
      <c r="E59" s="167">
        <v>50</v>
      </c>
      <c r="F59" s="166">
        <v>5</v>
      </c>
      <c r="G59" s="167">
        <v>28.36796</v>
      </c>
      <c r="H59" s="395">
        <f t="shared" si="0"/>
        <v>5.6735920000000002</v>
      </c>
      <c r="I59" s="168" t="s">
        <v>757</v>
      </c>
      <c r="J59" s="384" t="s">
        <v>758</v>
      </c>
      <c r="K59" s="402" t="s">
        <v>163</v>
      </c>
      <c r="L59" s="170" t="s">
        <v>164</v>
      </c>
      <c r="M59" s="396" t="s">
        <v>711</v>
      </c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ht="40.799999999999997" customHeight="1" x14ac:dyDescent="0.3">
      <c r="A60" s="11" t="s">
        <v>21</v>
      </c>
      <c r="B60" s="398" t="s">
        <v>759</v>
      </c>
      <c r="C60" s="166">
        <v>2019</v>
      </c>
      <c r="D60" s="166">
        <v>0.4</v>
      </c>
      <c r="E60" s="167">
        <v>85</v>
      </c>
      <c r="F60" s="166">
        <v>10</v>
      </c>
      <c r="G60" s="167">
        <v>49.623750000000001</v>
      </c>
      <c r="H60" s="395">
        <f t="shared" si="0"/>
        <v>4.9623749999999998</v>
      </c>
      <c r="I60" s="168" t="s">
        <v>760</v>
      </c>
      <c r="J60" s="166" t="s">
        <v>761</v>
      </c>
      <c r="K60" s="169" t="s">
        <v>163</v>
      </c>
      <c r="L60" s="170" t="s">
        <v>164</v>
      </c>
      <c r="M60" s="396" t="s">
        <v>711</v>
      </c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ht="40.799999999999997" customHeight="1" x14ac:dyDescent="0.3">
      <c r="A61" s="11" t="s">
        <v>21</v>
      </c>
      <c r="B61" s="399" t="s">
        <v>762</v>
      </c>
      <c r="C61" s="166">
        <v>2019</v>
      </c>
      <c r="D61" s="166">
        <v>0.4</v>
      </c>
      <c r="E61" s="167">
        <v>30</v>
      </c>
      <c r="F61" s="166">
        <v>15</v>
      </c>
      <c r="G61" s="167">
        <v>18.26709</v>
      </c>
      <c r="H61" s="395">
        <f t="shared" si="0"/>
        <v>1.2178059999999999</v>
      </c>
      <c r="I61" s="168" t="s">
        <v>763</v>
      </c>
      <c r="J61" s="166" t="s">
        <v>764</v>
      </c>
      <c r="K61" s="169" t="s">
        <v>163</v>
      </c>
      <c r="L61" s="170" t="s">
        <v>164</v>
      </c>
      <c r="M61" s="396" t="s">
        <v>711</v>
      </c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ht="40.799999999999997" customHeight="1" x14ac:dyDescent="0.3">
      <c r="A62" s="11" t="s">
        <v>21</v>
      </c>
      <c r="B62" s="398" t="s">
        <v>765</v>
      </c>
      <c r="C62" s="166">
        <v>2019</v>
      </c>
      <c r="D62" s="166">
        <v>0.4</v>
      </c>
      <c r="E62" s="167">
        <v>70</v>
      </c>
      <c r="F62" s="166">
        <v>15</v>
      </c>
      <c r="G62" s="167">
        <v>26.842089999999999</v>
      </c>
      <c r="H62" s="395">
        <f t="shared" si="0"/>
        <v>1.7894726666666665</v>
      </c>
      <c r="I62" s="168" t="s">
        <v>766</v>
      </c>
      <c r="J62" s="166" t="s">
        <v>767</v>
      </c>
      <c r="K62" s="169" t="s">
        <v>163</v>
      </c>
      <c r="L62" s="170" t="s">
        <v>164</v>
      </c>
      <c r="M62" s="396" t="s">
        <v>715</v>
      </c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ht="40.799999999999997" customHeight="1" x14ac:dyDescent="0.3">
      <c r="A63" s="11" t="s">
        <v>21</v>
      </c>
      <c r="B63" s="398" t="s">
        <v>768</v>
      </c>
      <c r="C63" s="166">
        <v>2019</v>
      </c>
      <c r="D63" s="166">
        <v>0.4</v>
      </c>
      <c r="E63" s="167">
        <v>50</v>
      </c>
      <c r="F63" s="166">
        <v>15</v>
      </c>
      <c r="G63" s="167">
        <v>20.739889999999999</v>
      </c>
      <c r="H63" s="395">
        <f t="shared" si="0"/>
        <v>1.3826593333333332</v>
      </c>
      <c r="I63" s="168" t="s">
        <v>769</v>
      </c>
      <c r="J63" s="166" t="s">
        <v>770</v>
      </c>
      <c r="K63" s="169" t="s">
        <v>163</v>
      </c>
      <c r="L63" s="170" t="s">
        <v>164</v>
      </c>
      <c r="M63" s="396" t="s">
        <v>715</v>
      </c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ht="40.799999999999997" customHeight="1" x14ac:dyDescent="0.3">
      <c r="A64" s="11" t="s">
        <v>21</v>
      </c>
      <c r="B64" s="398" t="s">
        <v>771</v>
      </c>
      <c r="C64" s="166">
        <v>2019</v>
      </c>
      <c r="D64" s="166">
        <v>0.4</v>
      </c>
      <c r="E64" s="167">
        <v>50</v>
      </c>
      <c r="F64" s="166">
        <v>15</v>
      </c>
      <c r="G64" s="167">
        <v>20.739879999999999</v>
      </c>
      <c r="H64" s="395">
        <f t="shared" si="0"/>
        <v>1.3826586666666667</v>
      </c>
      <c r="I64" s="168" t="s">
        <v>772</v>
      </c>
      <c r="J64" s="166" t="s">
        <v>773</v>
      </c>
      <c r="K64" s="169" t="s">
        <v>163</v>
      </c>
      <c r="L64" s="170" t="s">
        <v>164</v>
      </c>
      <c r="M64" s="396" t="s">
        <v>715</v>
      </c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3" ht="40.799999999999997" customHeight="1" x14ac:dyDescent="0.3">
      <c r="A65" s="11" t="s">
        <v>21</v>
      </c>
      <c r="B65" s="398" t="s">
        <v>774</v>
      </c>
      <c r="C65" s="166">
        <v>2019</v>
      </c>
      <c r="D65" s="166">
        <v>0.4</v>
      </c>
      <c r="E65" s="167">
        <v>200</v>
      </c>
      <c r="F65" s="166">
        <v>15</v>
      </c>
      <c r="G65" s="167">
        <v>76.56374000000001</v>
      </c>
      <c r="H65" s="395">
        <f t="shared" si="0"/>
        <v>5.1042493333333336</v>
      </c>
      <c r="I65" s="168" t="s">
        <v>775</v>
      </c>
      <c r="J65" s="166" t="s">
        <v>776</v>
      </c>
      <c r="K65" s="169" t="s">
        <v>163</v>
      </c>
      <c r="L65" s="170" t="s">
        <v>164</v>
      </c>
      <c r="M65" s="396" t="s">
        <v>711</v>
      </c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3" ht="40.799999999999997" customHeight="1" x14ac:dyDescent="0.3">
      <c r="A66" s="11" t="s">
        <v>21</v>
      </c>
      <c r="B66" s="399" t="s">
        <v>777</v>
      </c>
      <c r="C66" s="166">
        <v>2019</v>
      </c>
      <c r="D66" s="166">
        <v>0.4</v>
      </c>
      <c r="E66" s="167">
        <v>130</v>
      </c>
      <c r="F66" s="166">
        <v>15</v>
      </c>
      <c r="G66" s="167">
        <v>54.041710000000002</v>
      </c>
      <c r="H66" s="395">
        <f t="shared" si="0"/>
        <v>3.6027806666666669</v>
      </c>
      <c r="I66" s="168" t="s">
        <v>778</v>
      </c>
      <c r="J66" s="166" t="s">
        <v>779</v>
      </c>
      <c r="K66" s="169" t="s">
        <v>163</v>
      </c>
      <c r="L66" s="170" t="s">
        <v>164</v>
      </c>
      <c r="M66" s="396" t="s">
        <v>780</v>
      </c>
      <c r="N66" s="52"/>
      <c r="O66" s="52"/>
      <c r="P66" s="52"/>
      <c r="Q66" s="52"/>
      <c r="R66" s="52"/>
      <c r="S66" s="52"/>
      <c r="T66" s="52"/>
      <c r="U66" s="52"/>
      <c r="V66" s="52"/>
      <c r="W66" s="52"/>
    </row>
    <row r="67" spans="1:23" ht="40.799999999999997" customHeight="1" x14ac:dyDescent="0.3">
      <c r="A67" s="11" t="s">
        <v>21</v>
      </c>
      <c r="B67" s="399" t="s">
        <v>781</v>
      </c>
      <c r="C67" s="166">
        <v>2019</v>
      </c>
      <c r="D67" s="166">
        <v>0.4</v>
      </c>
      <c r="E67" s="167">
        <v>70</v>
      </c>
      <c r="F67" s="166">
        <v>15</v>
      </c>
      <c r="G67" s="167">
        <v>38.944019999999995</v>
      </c>
      <c r="H67" s="395">
        <f t="shared" si="0"/>
        <v>2.5962679999999998</v>
      </c>
      <c r="I67" s="168" t="s">
        <v>782</v>
      </c>
      <c r="J67" s="166" t="s">
        <v>783</v>
      </c>
      <c r="K67" s="169" t="s">
        <v>163</v>
      </c>
      <c r="L67" s="170" t="s">
        <v>164</v>
      </c>
      <c r="M67" s="396" t="s">
        <v>707</v>
      </c>
      <c r="N67" s="52"/>
      <c r="O67" s="52"/>
      <c r="P67" s="52"/>
      <c r="Q67" s="52"/>
      <c r="R67" s="52"/>
      <c r="S67" s="52"/>
      <c r="T67" s="52"/>
      <c r="U67" s="52"/>
      <c r="V67" s="52"/>
      <c r="W67" s="52"/>
    </row>
    <row r="68" spans="1:23" ht="40.799999999999997" customHeight="1" x14ac:dyDescent="0.3">
      <c r="A68" s="11" t="s">
        <v>21</v>
      </c>
      <c r="B68" s="399" t="s">
        <v>784</v>
      </c>
      <c r="C68" s="166">
        <v>2019</v>
      </c>
      <c r="D68" s="166">
        <v>0.4</v>
      </c>
      <c r="E68" s="167">
        <v>90</v>
      </c>
      <c r="F68" s="166">
        <v>15</v>
      </c>
      <c r="G68" s="167">
        <v>25.28349</v>
      </c>
      <c r="H68" s="395">
        <f t="shared" si="0"/>
        <v>1.6855660000000001</v>
      </c>
      <c r="I68" s="168" t="s">
        <v>785</v>
      </c>
      <c r="J68" s="166" t="s">
        <v>786</v>
      </c>
      <c r="K68" s="169" t="s">
        <v>163</v>
      </c>
      <c r="L68" s="170" t="s">
        <v>164</v>
      </c>
      <c r="M68" s="396" t="s">
        <v>780</v>
      </c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3" ht="40.799999999999997" customHeight="1" x14ac:dyDescent="0.3">
      <c r="A69" s="11" t="s">
        <v>21</v>
      </c>
      <c r="B69" s="399" t="s">
        <v>787</v>
      </c>
      <c r="C69" s="166">
        <v>2019</v>
      </c>
      <c r="D69" s="166">
        <v>0.4</v>
      </c>
      <c r="E69" s="167">
        <v>190</v>
      </c>
      <c r="F69" s="166">
        <v>65</v>
      </c>
      <c r="G69" s="167">
        <v>94.493440000000007</v>
      </c>
      <c r="H69" s="395">
        <f t="shared" si="0"/>
        <v>1.4537452307692309</v>
      </c>
      <c r="I69" s="168" t="s">
        <v>788</v>
      </c>
      <c r="J69" s="166" t="s">
        <v>789</v>
      </c>
      <c r="K69" s="169" t="s">
        <v>163</v>
      </c>
      <c r="L69" s="170" t="s">
        <v>164</v>
      </c>
      <c r="M69" s="396" t="s">
        <v>711</v>
      </c>
      <c r="N69" s="52"/>
      <c r="O69" s="52"/>
      <c r="P69" s="52"/>
      <c r="Q69" s="52"/>
      <c r="R69" s="52"/>
      <c r="S69" s="52"/>
      <c r="T69" s="52"/>
      <c r="U69" s="52"/>
      <c r="V69" s="52"/>
      <c r="W69" s="52"/>
    </row>
    <row r="70" spans="1:23" ht="40.799999999999997" customHeight="1" x14ac:dyDescent="0.3">
      <c r="A70" s="11" t="s">
        <v>21</v>
      </c>
      <c r="B70" s="399" t="s">
        <v>790</v>
      </c>
      <c r="C70" s="166">
        <v>2019</v>
      </c>
      <c r="D70" s="166">
        <v>0.4</v>
      </c>
      <c r="E70" s="167">
        <v>250</v>
      </c>
      <c r="F70" s="166">
        <v>15</v>
      </c>
      <c r="G70" s="167">
        <v>109.11803999999999</v>
      </c>
      <c r="H70" s="395">
        <f t="shared" si="0"/>
        <v>7.2745359999999994</v>
      </c>
      <c r="I70" s="168" t="s">
        <v>791</v>
      </c>
      <c r="J70" s="166" t="s">
        <v>792</v>
      </c>
      <c r="K70" s="169" t="s">
        <v>163</v>
      </c>
      <c r="L70" s="170" t="s">
        <v>164</v>
      </c>
      <c r="M70" s="396" t="s">
        <v>793</v>
      </c>
      <c r="N70" s="52"/>
      <c r="O70" s="52"/>
      <c r="P70" s="52"/>
      <c r="Q70" s="52"/>
      <c r="R70" s="52"/>
      <c r="S70" s="52"/>
      <c r="T70" s="52"/>
      <c r="U70" s="52"/>
      <c r="V70" s="52"/>
      <c r="W70" s="52"/>
    </row>
    <row r="71" spans="1:23" ht="40.799999999999997" customHeight="1" x14ac:dyDescent="0.3">
      <c r="A71" s="11" t="s">
        <v>21</v>
      </c>
      <c r="B71" s="399" t="s">
        <v>794</v>
      </c>
      <c r="C71" s="166">
        <v>2019</v>
      </c>
      <c r="D71" s="166">
        <v>0.4</v>
      </c>
      <c r="E71" s="167">
        <v>170</v>
      </c>
      <c r="F71" s="166">
        <v>15</v>
      </c>
      <c r="G71" s="167">
        <v>57.930630000000001</v>
      </c>
      <c r="H71" s="395">
        <f t="shared" si="0"/>
        <v>3.8620420000000002</v>
      </c>
      <c r="I71" s="168" t="s">
        <v>795</v>
      </c>
      <c r="J71" s="166" t="s">
        <v>796</v>
      </c>
      <c r="K71" s="169" t="s">
        <v>163</v>
      </c>
      <c r="L71" s="170" t="s">
        <v>164</v>
      </c>
      <c r="M71" s="396" t="s">
        <v>711</v>
      </c>
      <c r="N71" s="52"/>
      <c r="O71" s="52"/>
      <c r="P71" s="52"/>
      <c r="Q71" s="52"/>
      <c r="R71" s="52"/>
      <c r="S71" s="52"/>
      <c r="T71" s="52"/>
      <c r="U71" s="52"/>
      <c r="V71" s="52"/>
      <c r="W71" s="52"/>
    </row>
    <row r="72" spans="1:23" ht="40.799999999999997" customHeight="1" x14ac:dyDescent="0.3">
      <c r="A72" s="11" t="s">
        <v>21</v>
      </c>
      <c r="B72" s="399" t="s">
        <v>797</v>
      </c>
      <c r="C72" s="166">
        <v>2019</v>
      </c>
      <c r="D72" s="166">
        <v>0.4</v>
      </c>
      <c r="E72" s="167">
        <v>200</v>
      </c>
      <c r="F72" s="166">
        <v>5</v>
      </c>
      <c r="G72" s="167">
        <v>111.35728</v>
      </c>
      <c r="H72" s="395">
        <f t="shared" si="0"/>
        <v>22.271456000000001</v>
      </c>
      <c r="I72" s="168" t="s">
        <v>798</v>
      </c>
      <c r="J72" s="166" t="s">
        <v>584</v>
      </c>
      <c r="K72" s="169" t="s">
        <v>163</v>
      </c>
      <c r="L72" s="170" t="s">
        <v>164</v>
      </c>
      <c r="M72" s="396" t="s">
        <v>711</v>
      </c>
      <c r="N72" s="52"/>
      <c r="O72" s="52"/>
      <c r="P72" s="52"/>
      <c r="Q72" s="52"/>
      <c r="R72" s="52"/>
      <c r="S72" s="52"/>
      <c r="T72" s="52"/>
      <c r="U72" s="52"/>
      <c r="V72" s="52"/>
      <c r="W72" s="52"/>
    </row>
    <row r="73" spans="1:23" ht="40.799999999999997" customHeight="1" x14ac:dyDescent="0.3">
      <c r="A73" s="11" t="s">
        <v>21</v>
      </c>
      <c r="B73" s="398" t="s">
        <v>799</v>
      </c>
      <c r="C73" s="166">
        <v>2019</v>
      </c>
      <c r="D73" s="166">
        <v>0.4</v>
      </c>
      <c r="E73" s="167">
        <v>160</v>
      </c>
      <c r="F73" s="166">
        <v>75</v>
      </c>
      <c r="G73" s="167">
        <v>47.685940000000002</v>
      </c>
      <c r="H73" s="395">
        <f t="shared" si="0"/>
        <v>0.63581253333333332</v>
      </c>
      <c r="I73" s="168" t="s">
        <v>800</v>
      </c>
      <c r="J73" s="166" t="s">
        <v>801</v>
      </c>
      <c r="K73" s="169" t="s">
        <v>165</v>
      </c>
      <c r="L73" s="170" t="s">
        <v>164</v>
      </c>
      <c r="M73" s="396" t="s">
        <v>711</v>
      </c>
      <c r="N73" s="52"/>
      <c r="O73" s="52"/>
      <c r="P73" s="52"/>
      <c r="Q73" s="52"/>
      <c r="R73" s="52"/>
      <c r="S73" s="52"/>
      <c r="T73" s="52"/>
      <c r="U73" s="52"/>
      <c r="V73" s="52"/>
      <c r="W73" s="52"/>
    </row>
    <row r="74" spans="1:23" ht="40.799999999999997" customHeight="1" x14ac:dyDescent="0.3">
      <c r="A74" s="11" t="s">
        <v>21</v>
      </c>
      <c r="B74" s="399" t="s">
        <v>802</v>
      </c>
      <c r="C74" s="166">
        <v>2019</v>
      </c>
      <c r="D74" s="166">
        <v>0.4</v>
      </c>
      <c r="E74" s="167">
        <v>80</v>
      </c>
      <c r="F74" s="166">
        <v>15</v>
      </c>
      <c r="G74" s="167">
        <v>25.903200000000002</v>
      </c>
      <c r="H74" s="395">
        <f t="shared" si="0"/>
        <v>1.7268800000000002</v>
      </c>
      <c r="I74" s="168" t="s">
        <v>803</v>
      </c>
      <c r="J74" s="166" t="s">
        <v>804</v>
      </c>
      <c r="K74" s="169" t="s">
        <v>163</v>
      </c>
      <c r="L74" s="170" t="s">
        <v>164</v>
      </c>
      <c r="M74" s="396" t="s">
        <v>715</v>
      </c>
      <c r="N74" s="52"/>
      <c r="O74" s="52"/>
      <c r="P74" s="52"/>
      <c r="Q74" s="52"/>
      <c r="R74" s="52"/>
      <c r="S74" s="52"/>
      <c r="T74" s="52"/>
      <c r="U74" s="52"/>
      <c r="V74" s="52"/>
      <c r="W74" s="52"/>
    </row>
    <row r="75" spans="1:23" ht="40.799999999999997" customHeight="1" x14ac:dyDescent="0.3">
      <c r="A75" s="11" t="s">
        <v>21</v>
      </c>
      <c r="B75" s="398" t="s">
        <v>805</v>
      </c>
      <c r="C75" s="166">
        <v>2019</v>
      </c>
      <c r="D75" s="166">
        <v>0.4</v>
      </c>
      <c r="E75" s="167">
        <v>60</v>
      </c>
      <c r="F75" s="166">
        <v>15</v>
      </c>
      <c r="G75" s="167">
        <v>23.951090000000001</v>
      </c>
      <c r="H75" s="395">
        <f t="shared" si="0"/>
        <v>1.5967393333333333</v>
      </c>
      <c r="I75" s="168" t="s">
        <v>806</v>
      </c>
      <c r="J75" s="166" t="s">
        <v>807</v>
      </c>
      <c r="K75" s="169" t="s">
        <v>163</v>
      </c>
      <c r="L75" s="170" t="s">
        <v>164</v>
      </c>
      <c r="M75" s="396" t="s">
        <v>715</v>
      </c>
      <c r="N75" s="52"/>
      <c r="O75" s="52"/>
      <c r="P75" s="52"/>
      <c r="Q75" s="52"/>
      <c r="R75" s="52"/>
      <c r="S75" s="52"/>
      <c r="T75" s="52"/>
      <c r="U75" s="52"/>
      <c r="V75" s="52"/>
      <c r="W75" s="52"/>
    </row>
    <row r="76" spans="1:23" ht="40.799999999999997" customHeight="1" thickBot="1" x14ac:dyDescent="0.35">
      <c r="A76" s="11" t="s">
        <v>21</v>
      </c>
      <c r="B76" s="398" t="s">
        <v>808</v>
      </c>
      <c r="C76" s="166">
        <v>2019</v>
      </c>
      <c r="D76" s="166">
        <v>0.4</v>
      </c>
      <c r="E76" s="167">
        <v>80</v>
      </c>
      <c r="F76" s="166">
        <v>15</v>
      </c>
      <c r="G76" s="167">
        <v>34.471220000000002</v>
      </c>
      <c r="H76" s="395">
        <f t="shared" si="0"/>
        <v>2.2980813333333336</v>
      </c>
      <c r="I76" s="168" t="s">
        <v>809</v>
      </c>
      <c r="J76" s="166" t="s">
        <v>810</v>
      </c>
      <c r="K76" s="169" t="s">
        <v>163</v>
      </c>
      <c r="L76" s="170" t="s">
        <v>164</v>
      </c>
      <c r="M76" s="396" t="s">
        <v>711</v>
      </c>
      <c r="N76" s="52"/>
      <c r="O76" s="52"/>
      <c r="P76" s="52"/>
      <c r="Q76" s="52"/>
      <c r="R76" s="52"/>
      <c r="S76" s="52"/>
      <c r="T76" s="52"/>
      <c r="U76" s="52"/>
      <c r="V76" s="52"/>
      <c r="W76" s="52"/>
    </row>
    <row r="77" spans="1:23" hidden="1" outlineLevel="1" x14ac:dyDescent="0.3">
      <c r="A77" s="11" t="s">
        <v>21</v>
      </c>
      <c r="B77" s="36"/>
      <c r="C77" s="10"/>
      <c r="D77" s="10"/>
      <c r="E77" s="9"/>
      <c r="F77" s="9"/>
      <c r="G77" s="9"/>
      <c r="H77" s="9"/>
      <c r="I77" s="10"/>
      <c r="J77" s="10"/>
      <c r="K77" s="10"/>
      <c r="L77" s="12"/>
      <c r="M77" s="58"/>
      <c r="N77" s="52"/>
      <c r="O77" s="52"/>
      <c r="P77" s="52"/>
      <c r="Q77" s="52"/>
      <c r="R77" s="52"/>
      <c r="S77" s="52"/>
      <c r="T77" s="52"/>
      <c r="U77" s="52"/>
      <c r="V77" s="52"/>
      <c r="W77" s="52"/>
    </row>
    <row r="78" spans="1:23" hidden="1" outlineLevel="1" x14ac:dyDescent="0.3">
      <c r="A78" s="11" t="s">
        <v>21</v>
      </c>
      <c r="B78" s="36"/>
      <c r="C78" s="10"/>
      <c r="D78" s="10"/>
      <c r="E78" s="9"/>
      <c r="F78" s="9"/>
      <c r="G78" s="9"/>
      <c r="H78" s="9"/>
      <c r="I78" s="10"/>
      <c r="J78" s="10"/>
      <c r="K78" s="10"/>
      <c r="L78" s="12"/>
      <c r="M78" s="58"/>
      <c r="N78" s="52"/>
      <c r="O78" s="52"/>
      <c r="P78" s="52"/>
      <c r="Q78" s="52"/>
      <c r="R78" s="52"/>
      <c r="S78" s="52"/>
      <c r="T78" s="52"/>
      <c r="U78" s="52"/>
      <c r="V78" s="52"/>
      <c r="W78" s="52"/>
    </row>
    <row r="79" spans="1:23" hidden="1" outlineLevel="1" x14ac:dyDescent="0.3">
      <c r="A79" s="11" t="s">
        <v>21</v>
      </c>
      <c r="B79" s="36"/>
      <c r="C79" s="10"/>
      <c r="D79" s="10"/>
      <c r="E79" s="9"/>
      <c r="F79" s="9"/>
      <c r="G79" s="9"/>
      <c r="H79" s="9"/>
      <c r="I79" s="10"/>
      <c r="J79" s="10"/>
      <c r="K79" s="10"/>
      <c r="L79" s="12"/>
      <c r="M79" s="58"/>
      <c r="N79" s="52"/>
      <c r="O79" s="52"/>
      <c r="P79" s="52"/>
      <c r="Q79" s="52"/>
      <c r="R79" s="52"/>
      <c r="S79" s="52"/>
      <c r="T79" s="52"/>
      <c r="U79" s="52"/>
      <c r="V79" s="52"/>
      <c r="W79" s="52"/>
    </row>
    <row r="80" spans="1:23" hidden="1" outlineLevel="1" x14ac:dyDescent="0.3">
      <c r="A80" s="11" t="s">
        <v>21</v>
      </c>
      <c r="B80" s="36"/>
      <c r="C80" s="10"/>
      <c r="D80" s="10"/>
      <c r="E80" s="9"/>
      <c r="F80" s="9"/>
      <c r="G80" s="9"/>
      <c r="H80" s="9"/>
      <c r="I80" s="10"/>
      <c r="J80" s="10"/>
      <c r="K80" s="10"/>
      <c r="L80" s="12"/>
      <c r="M80" s="58"/>
      <c r="N80" s="52"/>
      <c r="O80" s="52"/>
      <c r="P80" s="52"/>
      <c r="Q80" s="52"/>
      <c r="R80" s="52"/>
      <c r="S80" s="52"/>
      <c r="T80" s="52"/>
      <c r="U80" s="52"/>
      <c r="V80" s="52"/>
      <c r="W80" s="52"/>
    </row>
    <row r="81" spans="1:23" hidden="1" outlineLevel="1" x14ac:dyDescent="0.3">
      <c r="A81" s="11" t="s">
        <v>21</v>
      </c>
      <c r="B81" s="36"/>
      <c r="C81" s="10"/>
      <c r="D81" s="10"/>
      <c r="E81" s="9"/>
      <c r="F81" s="9"/>
      <c r="G81" s="9"/>
      <c r="H81" s="9"/>
      <c r="I81" s="10"/>
      <c r="J81" s="10"/>
      <c r="K81" s="10"/>
      <c r="L81" s="12"/>
      <c r="M81" s="58"/>
      <c r="N81" s="52"/>
      <c r="O81" s="52"/>
      <c r="P81" s="52"/>
      <c r="Q81" s="52"/>
      <c r="R81" s="52"/>
      <c r="S81" s="52"/>
      <c r="T81" s="52"/>
      <c r="U81" s="52"/>
      <c r="V81" s="52"/>
      <c r="W81" s="52"/>
    </row>
    <row r="82" spans="1:23" hidden="1" outlineLevel="1" x14ac:dyDescent="0.3">
      <c r="A82" s="11" t="s">
        <v>21</v>
      </c>
      <c r="B82" s="36"/>
      <c r="C82" s="10"/>
      <c r="D82" s="10"/>
      <c r="E82" s="9"/>
      <c r="F82" s="9"/>
      <c r="G82" s="9"/>
      <c r="H82" s="9"/>
      <c r="I82" s="10"/>
      <c r="J82" s="10"/>
      <c r="K82" s="10"/>
      <c r="L82" s="12"/>
      <c r="M82" s="58"/>
      <c r="N82" s="52"/>
      <c r="O82" s="52"/>
      <c r="P82" s="52"/>
      <c r="Q82" s="52"/>
      <c r="R82" s="52"/>
      <c r="S82" s="52"/>
      <c r="T82" s="52"/>
      <c r="U82" s="52"/>
      <c r="V82" s="52"/>
      <c r="W82" s="52"/>
    </row>
    <row r="83" spans="1:23" hidden="1" outlineLevel="1" x14ac:dyDescent="0.3">
      <c r="A83" s="11" t="s">
        <v>21</v>
      </c>
      <c r="B83" s="36"/>
      <c r="C83" s="10"/>
      <c r="D83" s="10"/>
      <c r="E83" s="9"/>
      <c r="F83" s="9"/>
      <c r="G83" s="9"/>
      <c r="H83" s="9"/>
      <c r="I83" s="10"/>
      <c r="J83" s="10"/>
      <c r="K83" s="10"/>
      <c r="L83" s="12"/>
      <c r="M83" s="58"/>
      <c r="N83" s="52"/>
      <c r="O83" s="52"/>
      <c r="P83" s="52"/>
      <c r="Q83" s="52"/>
      <c r="R83" s="52"/>
      <c r="S83" s="52"/>
      <c r="T83" s="52"/>
      <c r="U83" s="52"/>
      <c r="V83" s="52"/>
      <c r="W83" s="52"/>
    </row>
    <row r="84" spans="1:23" hidden="1" outlineLevel="1" x14ac:dyDescent="0.3">
      <c r="A84" s="11" t="s">
        <v>21</v>
      </c>
      <c r="B84" s="36"/>
      <c r="C84" s="10"/>
      <c r="D84" s="10"/>
      <c r="E84" s="9"/>
      <c r="F84" s="9"/>
      <c r="G84" s="9"/>
      <c r="H84" s="9"/>
      <c r="I84" s="10"/>
      <c r="J84" s="10"/>
      <c r="K84" s="10"/>
      <c r="L84" s="12"/>
      <c r="M84" s="58"/>
      <c r="N84" s="52"/>
      <c r="O84" s="52"/>
      <c r="P84" s="52"/>
      <c r="Q84" s="52"/>
      <c r="R84" s="52"/>
      <c r="S84" s="52"/>
      <c r="T84" s="52"/>
      <c r="U84" s="52"/>
      <c r="V84" s="52"/>
      <c r="W84" s="52"/>
    </row>
    <row r="85" spans="1:23" hidden="1" outlineLevel="1" x14ac:dyDescent="0.3">
      <c r="A85" s="11" t="s">
        <v>21</v>
      </c>
      <c r="B85" s="36"/>
      <c r="C85" s="10"/>
      <c r="D85" s="10"/>
      <c r="E85" s="9"/>
      <c r="F85" s="9"/>
      <c r="G85" s="9"/>
      <c r="H85" s="9"/>
      <c r="I85" s="10"/>
      <c r="J85" s="10"/>
      <c r="K85" s="10"/>
      <c r="L85" s="12"/>
      <c r="M85" s="58"/>
      <c r="N85" s="52"/>
      <c r="O85" s="52"/>
      <c r="P85" s="52"/>
      <c r="Q85" s="52"/>
      <c r="R85" s="52"/>
      <c r="S85" s="52"/>
      <c r="T85" s="52"/>
      <c r="U85" s="52"/>
      <c r="V85" s="52"/>
      <c r="W85" s="52"/>
    </row>
    <row r="86" spans="1:23" hidden="1" outlineLevel="1" x14ac:dyDescent="0.3">
      <c r="A86" s="11" t="s">
        <v>21</v>
      </c>
      <c r="B86" s="36"/>
      <c r="C86" s="10"/>
      <c r="D86" s="10"/>
      <c r="E86" s="9"/>
      <c r="F86" s="9"/>
      <c r="G86" s="9"/>
      <c r="H86" s="9"/>
      <c r="I86" s="10"/>
      <c r="J86" s="10"/>
      <c r="K86" s="10"/>
      <c r="L86" s="12"/>
      <c r="M86" s="58"/>
      <c r="N86" s="52"/>
      <c r="O86" s="52"/>
      <c r="P86" s="52"/>
      <c r="Q86" s="52"/>
      <c r="R86" s="52"/>
      <c r="S86" s="52"/>
      <c r="T86" s="52"/>
      <c r="U86" s="52"/>
      <c r="V86" s="52"/>
      <c r="W86" s="52"/>
    </row>
    <row r="87" spans="1:23" hidden="1" outlineLevel="1" x14ac:dyDescent="0.3">
      <c r="A87" s="11" t="s">
        <v>21</v>
      </c>
      <c r="B87" s="36"/>
      <c r="C87" s="10"/>
      <c r="D87" s="10"/>
      <c r="E87" s="9"/>
      <c r="F87" s="9"/>
      <c r="G87" s="9"/>
      <c r="H87" s="9"/>
      <c r="I87" s="10"/>
      <c r="J87" s="10"/>
      <c r="K87" s="10"/>
      <c r="L87" s="12"/>
      <c r="M87" s="58"/>
      <c r="N87" s="52"/>
      <c r="O87" s="52"/>
      <c r="P87" s="52"/>
      <c r="Q87" s="52"/>
      <c r="R87" s="52"/>
      <c r="S87" s="52"/>
      <c r="T87" s="52"/>
      <c r="U87" s="52"/>
      <c r="V87" s="52"/>
      <c r="W87" s="52"/>
    </row>
    <row r="88" spans="1:23" hidden="1" outlineLevel="1" x14ac:dyDescent="0.3">
      <c r="A88" s="11" t="s">
        <v>21</v>
      </c>
      <c r="B88" s="36"/>
      <c r="C88" s="10"/>
      <c r="D88" s="10"/>
      <c r="E88" s="9"/>
      <c r="F88" s="9"/>
      <c r="G88" s="9"/>
      <c r="H88" s="9"/>
      <c r="I88" s="10"/>
      <c r="J88" s="10"/>
      <c r="K88" s="10"/>
      <c r="L88" s="12"/>
      <c r="M88" s="58"/>
      <c r="N88" s="52"/>
      <c r="O88" s="52"/>
      <c r="P88" s="52"/>
      <c r="Q88" s="52"/>
      <c r="R88" s="52"/>
      <c r="S88" s="52"/>
      <c r="T88" s="52"/>
      <c r="U88" s="52"/>
      <c r="V88" s="52"/>
      <c r="W88" s="52"/>
    </row>
    <row r="89" spans="1:23" hidden="1" outlineLevel="1" x14ac:dyDescent="0.3">
      <c r="A89" s="11" t="s">
        <v>21</v>
      </c>
      <c r="B89" s="36"/>
      <c r="C89" s="10"/>
      <c r="D89" s="10"/>
      <c r="E89" s="9"/>
      <c r="F89" s="9"/>
      <c r="G89" s="9"/>
      <c r="H89" s="9"/>
      <c r="I89" s="10"/>
      <c r="J89" s="10"/>
      <c r="K89" s="10"/>
      <c r="L89" s="12"/>
      <c r="M89" s="58"/>
      <c r="N89" s="52"/>
      <c r="O89" s="52"/>
      <c r="P89" s="52"/>
      <c r="Q89" s="52"/>
      <c r="R89" s="52"/>
      <c r="S89" s="52"/>
      <c r="T89" s="52"/>
      <c r="U89" s="52"/>
      <c r="V89" s="52"/>
      <c r="W89" s="52"/>
    </row>
    <row r="90" spans="1:23" hidden="1" outlineLevel="1" x14ac:dyDescent="0.3">
      <c r="A90" s="11" t="s">
        <v>21</v>
      </c>
      <c r="B90" s="36"/>
      <c r="C90" s="10"/>
      <c r="D90" s="10"/>
      <c r="E90" s="9"/>
      <c r="F90" s="9"/>
      <c r="G90" s="9"/>
      <c r="H90" s="9"/>
      <c r="I90" s="10"/>
      <c r="J90" s="10"/>
      <c r="K90" s="10"/>
      <c r="L90" s="12"/>
      <c r="M90" s="58"/>
      <c r="N90" s="52"/>
      <c r="O90" s="52"/>
      <c r="P90" s="52"/>
      <c r="Q90" s="52"/>
      <c r="R90" s="52"/>
      <c r="S90" s="52"/>
      <c r="T90" s="52"/>
      <c r="U90" s="52"/>
      <c r="V90" s="52"/>
      <c r="W90" s="52"/>
    </row>
    <row r="91" spans="1:23" hidden="1" outlineLevel="1" x14ac:dyDescent="0.3">
      <c r="A91" s="11" t="s">
        <v>21</v>
      </c>
      <c r="B91" s="36"/>
      <c r="C91" s="10"/>
      <c r="D91" s="10"/>
      <c r="E91" s="9"/>
      <c r="F91" s="9"/>
      <c r="G91" s="9"/>
      <c r="H91" s="9"/>
      <c r="I91" s="10"/>
      <c r="J91" s="10"/>
      <c r="K91" s="10"/>
      <c r="L91" s="12"/>
      <c r="M91" s="58"/>
      <c r="N91" s="52"/>
      <c r="O91" s="52"/>
      <c r="P91" s="52"/>
      <c r="Q91" s="52"/>
      <c r="R91" s="52"/>
      <c r="S91" s="52"/>
      <c r="T91" s="52"/>
      <c r="U91" s="52"/>
      <c r="V91" s="52"/>
      <c r="W91" s="52"/>
    </row>
    <row r="92" spans="1:23" hidden="1" outlineLevel="1" x14ac:dyDescent="0.3">
      <c r="A92" s="11" t="s">
        <v>21</v>
      </c>
      <c r="B92" s="36"/>
      <c r="C92" s="10"/>
      <c r="D92" s="10"/>
      <c r="E92" s="9"/>
      <c r="F92" s="9"/>
      <c r="G92" s="9"/>
      <c r="H92" s="9"/>
      <c r="I92" s="10"/>
      <c r="J92" s="10"/>
      <c r="K92" s="10"/>
      <c r="L92" s="12"/>
      <c r="M92" s="58"/>
      <c r="N92" s="52"/>
      <c r="O92" s="52"/>
      <c r="P92" s="52"/>
      <c r="Q92" s="52"/>
      <c r="R92" s="52"/>
      <c r="S92" s="52"/>
      <c r="T92" s="52"/>
      <c r="U92" s="52"/>
      <c r="V92" s="52"/>
      <c r="W92" s="52"/>
    </row>
    <row r="93" spans="1:23" hidden="1" outlineLevel="1" x14ac:dyDescent="0.3">
      <c r="A93" s="11" t="s">
        <v>21</v>
      </c>
      <c r="B93" s="36"/>
      <c r="C93" s="10"/>
      <c r="D93" s="10"/>
      <c r="E93" s="9"/>
      <c r="F93" s="9"/>
      <c r="G93" s="9"/>
      <c r="H93" s="9"/>
      <c r="I93" s="10"/>
      <c r="J93" s="10"/>
      <c r="K93" s="10"/>
      <c r="L93" s="12"/>
      <c r="M93" s="58"/>
      <c r="N93" s="52"/>
      <c r="O93" s="52"/>
      <c r="P93" s="52"/>
      <c r="Q93" s="52"/>
      <c r="R93" s="52"/>
      <c r="S93" s="52"/>
      <c r="T93" s="52"/>
      <c r="U93" s="52"/>
      <c r="V93" s="52"/>
      <c r="W93" s="52"/>
    </row>
    <row r="94" spans="1:23" hidden="1" outlineLevel="1" x14ac:dyDescent="0.3">
      <c r="A94" s="11" t="s">
        <v>21</v>
      </c>
      <c r="B94" s="36"/>
      <c r="C94" s="10"/>
      <c r="D94" s="10"/>
      <c r="E94" s="9"/>
      <c r="F94" s="9"/>
      <c r="G94" s="9"/>
      <c r="H94" s="9"/>
      <c r="I94" s="10"/>
      <c r="J94" s="10"/>
      <c r="K94" s="10"/>
      <c r="L94" s="12"/>
      <c r="M94" s="58"/>
      <c r="N94" s="52"/>
      <c r="O94" s="52"/>
      <c r="P94" s="52"/>
      <c r="Q94" s="52"/>
      <c r="R94" s="52"/>
      <c r="S94" s="52"/>
      <c r="T94" s="52"/>
      <c r="U94" s="52"/>
      <c r="V94" s="52"/>
      <c r="W94" s="52"/>
    </row>
    <row r="95" spans="1:23" hidden="1" outlineLevel="1" x14ac:dyDescent="0.3">
      <c r="A95" s="11" t="s">
        <v>21</v>
      </c>
      <c r="B95" s="36"/>
      <c r="C95" s="10"/>
      <c r="D95" s="10"/>
      <c r="E95" s="9"/>
      <c r="F95" s="9"/>
      <c r="G95" s="9"/>
      <c r="H95" s="9"/>
      <c r="I95" s="10"/>
      <c r="J95" s="10"/>
      <c r="K95" s="10"/>
      <c r="L95" s="12"/>
      <c r="M95" s="58"/>
      <c r="N95" s="52"/>
      <c r="O95" s="52"/>
      <c r="P95" s="52"/>
      <c r="Q95" s="52"/>
      <c r="R95" s="52"/>
      <c r="S95" s="52"/>
      <c r="T95" s="52"/>
      <c r="U95" s="52"/>
      <c r="V95" s="52"/>
      <c r="W95" s="52"/>
    </row>
    <row r="96" spans="1:23" hidden="1" outlineLevel="1" x14ac:dyDescent="0.3">
      <c r="A96" s="11" t="s">
        <v>21</v>
      </c>
      <c r="B96" s="36"/>
      <c r="C96" s="10"/>
      <c r="D96" s="10"/>
      <c r="E96" s="9"/>
      <c r="F96" s="9"/>
      <c r="G96" s="9"/>
      <c r="H96" s="9"/>
      <c r="I96" s="10"/>
      <c r="J96" s="10"/>
      <c r="K96" s="10"/>
      <c r="L96" s="12"/>
      <c r="M96" s="58"/>
      <c r="N96" s="52"/>
      <c r="O96" s="52"/>
      <c r="P96" s="52"/>
      <c r="Q96" s="52"/>
      <c r="R96" s="52"/>
      <c r="S96" s="52"/>
      <c r="T96" s="52"/>
      <c r="U96" s="52"/>
      <c r="V96" s="52"/>
      <c r="W96" s="52"/>
    </row>
    <row r="97" spans="1:23" hidden="1" outlineLevel="1" x14ac:dyDescent="0.3">
      <c r="A97" s="11" t="s">
        <v>21</v>
      </c>
      <c r="B97" s="36"/>
      <c r="C97" s="10"/>
      <c r="D97" s="10"/>
      <c r="E97" s="9"/>
      <c r="F97" s="9"/>
      <c r="G97" s="9"/>
      <c r="H97" s="9"/>
      <c r="I97" s="10"/>
      <c r="J97" s="10"/>
      <c r="K97" s="10"/>
      <c r="L97" s="12"/>
      <c r="M97" s="58"/>
      <c r="N97" s="52"/>
      <c r="O97" s="52"/>
      <c r="P97" s="52"/>
      <c r="Q97" s="52"/>
      <c r="R97" s="52"/>
      <c r="S97" s="52"/>
      <c r="T97" s="52"/>
      <c r="U97" s="52"/>
      <c r="V97" s="52"/>
      <c r="W97" s="52"/>
    </row>
    <row r="98" spans="1:23" hidden="1" outlineLevel="1" x14ac:dyDescent="0.3">
      <c r="A98" s="11" t="s">
        <v>21</v>
      </c>
      <c r="B98" s="36"/>
      <c r="C98" s="10"/>
      <c r="D98" s="10"/>
      <c r="E98" s="9"/>
      <c r="F98" s="9"/>
      <c r="G98" s="9"/>
      <c r="H98" s="9"/>
      <c r="I98" s="10"/>
      <c r="J98" s="10"/>
      <c r="K98" s="10"/>
      <c r="L98" s="12"/>
      <c r="M98" s="58"/>
      <c r="N98" s="52"/>
      <c r="O98" s="52"/>
      <c r="P98" s="52"/>
      <c r="Q98" s="52"/>
      <c r="R98" s="52"/>
      <c r="S98" s="52"/>
      <c r="T98" s="52"/>
      <c r="U98" s="52"/>
      <c r="V98" s="52"/>
      <c r="W98" s="52"/>
    </row>
    <row r="99" spans="1:23" hidden="1" outlineLevel="1" x14ac:dyDescent="0.3">
      <c r="A99" s="11" t="s">
        <v>21</v>
      </c>
      <c r="B99" s="36"/>
      <c r="C99" s="10"/>
      <c r="D99" s="10"/>
      <c r="E99" s="9"/>
      <c r="F99" s="9"/>
      <c r="G99" s="9"/>
      <c r="H99" s="9"/>
      <c r="I99" s="10"/>
      <c r="J99" s="10"/>
      <c r="K99" s="10"/>
      <c r="L99" s="12"/>
      <c r="M99" s="58"/>
      <c r="N99" s="52"/>
      <c r="O99" s="52"/>
      <c r="P99" s="52"/>
      <c r="Q99" s="52"/>
      <c r="R99" s="52"/>
      <c r="S99" s="52"/>
      <c r="T99" s="52"/>
      <c r="U99" s="52"/>
      <c r="V99" s="52"/>
      <c r="W99" s="52"/>
    </row>
    <row r="100" spans="1:23" hidden="1" outlineLevel="1" x14ac:dyDescent="0.3">
      <c r="A100" s="11" t="s">
        <v>21</v>
      </c>
      <c r="B100" s="36"/>
      <c r="C100" s="10"/>
      <c r="D100" s="10"/>
      <c r="E100" s="9"/>
      <c r="F100" s="9"/>
      <c r="G100" s="9"/>
      <c r="H100" s="9"/>
      <c r="I100" s="10"/>
      <c r="J100" s="10"/>
      <c r="K100" s="10"/>
      <c r="L100" s="12"/>
      <c r="M100" s="58"/>
      <c r="N100" s="52"/>
      <c r="O100" s="52"/>
      <c r="P100" s="52"/>
      <c r="Q100" s="52"/>
      <c r="R100" s="52"/>
      <c r="S100" s="52"/>
      <c r="T100" s="52"/>
      <c r="U100" s="52"/>
      <c r="V100" s="52"/>
      <c r="W100" s="52"/>
    </row>
    <row r="101" spans="1:23" hidden="1" outlineLevel="1" x14ac:dyDescent="0.3">
      <c r="A101" s="11" t="s">
        <v>21</v>
      </c>
      <c r="B101" s="36"/>
      <c r="C101" s="10"/>
      <c r="D101" s="10"/>
      <c r="E101" s="9"/>
      <c r="F101" s="9"/>
      <c r="G101" s="9"/>
      <c r="H101" s="9"/>
      <c r="I101" s="10"/>
      <c r="J101" s="10"/>
      <c r="K101" s="10"/>
      <c r="L101" s="12"/>
      <c r="M101" s="58"/>
      <c r="N101" s="52"/>
      <c r="O101" s="52"/>
      <c r="P101" s="52"/>
      <c r="Q101" s="52"/>
      <c r="R101" s="52"/>
      <c r="S101" s="52"/>
      <c r="T101" s="52"/>
      <c r="U101" s="52"/>
      <c r="V101" s="52"/>
      <c r="W101" s="52"/>
    </row>
    <row r="102" spans="1:23" hidden="1" outlineLevel="1" x14ac:dyDescent="0.3">
      <c r="A102" s="11" t="s">
        <v>21</v>
      </c>
      <c r="B102" s="36"/>
      <c r="C102" s="10"/>
      <c r="D102" s="10"/>
      <c r="E102" s="9"/>
      <c r="F102" s="9"/>
      <c r="G102" s="9"/>
      <c r="H102" s="9"/>
      <c r="I102" s="10"/>
      <c r="J102" s="10"/>
      <c r="K102" s="10"/>
      <c r="L102" s="12"/>
      <c r="M102" s="58"/>
      <c r="N102" s="52"/>
      <c r="O102" s="52"/>
      <c r="P102" s="52"/>
      <c r="Q102" s="52"/>
      <c r="R102" s="52"/>
      <c r="S102" s="52"/>
      <c r="T102" s="52"/>
      <c r="U102" s="52"/>
      <c r="V102" s="52"/>
      <c r="W102" s="52"/>
    </row>
    <row r="103" spans="1:23" hidden="1" outlineLevel="1" x14ac:dyDescent="0.3">
      <c r="A103" s="11" t="s">
        <v>21</v>
      </c>
      <c r="B103" s="36"/>
      <c r="C103" s="10"/>
      <c r="D103" s="10"/>
      <c r="E103" s="9"/>
      <c r="F103" s="9"/>
      <c r="G103" s="9"/>
      <c r="H103" s="9"/>
      <c r="I103" s="10"/>
      <c r="J103" s="10"/>
      <c r="K103" s="10"/>
      <c r="L103" s="12"/>
      <c r="M103" s="58"/>
      <c r="N103" s="52"/>
      <c r="O103" s="52"/>
      <c r="P103" s="52"/>
      <c r="Q103" s="52"/>
      <c r="R103" s="52"/>
      <c r="S103" s="52"/>
      <c r="T103" s="52"/>
      <c r="U103" s="52"/>
      <c r="V103" s="52"/>
      <c r="W103" s="52"/>
    </row>
    <row r="104" spans="1:23" hidden="1" outlineLevel="1" x14ac:dyDescent="0.3">
      <c r="A104" s="11" t="s">
        <v>21</v>
      </c>
      <c r="B104" s="36"/>
      <c r="C104" s="10"/>
      <c r="D104" s="10"/>
      <c r="E104" s="9"/>
      <c r="F104" s="9"/>
      <c r="G104" s="9"/>
      <c r="H104" s="9"/>
      <c r="I104" s="10"/>
      <c r="J104" s="10"/>
      <c r="K104" s="10"/>
      <c r="L104" s="12"/>
      <c r="M104" s="58"/>
      <c r="N104" s="52"/>
      <c r="O104" s="52"/>
      <c r="P104" s="52"/>
      <c r="Q104" s="52"/>
      <c r="R104" s="52"/>
      <c r="S104" s="52"/>
      <c r="T104" s="52"/>
      <c r="U104" s="52"/>
      <c r="V104" s="52"/>
      <c r="W104" s="52"/>
    </row>
    <row r="105" spans="1:23" hidden="1" outlineLevel="1" x14ac:dyDescent="0.3">
      <c r="A105" s="11" t="s">
        <v>21</v>
      </c>
      <c r="B105" s="36"/>
      <c r="C105" s="10"/>
      <c r="D105" s="10"/>
      <c r="E105" s="9"/>
      <c r="F105" s="9"/>
      <c r="G105" s="9"/>
      <c r="H105" s="9"/>
      <c r="I105" s="10"/>
      <c r="J105" s="10"/>
      <c r="K105" s="10"/>
      <c r="L105" s="12"/>
      <c r="M105" s="58"/>
      <c r="N105" s="52"/>
      <c r="O105" s="52"/>
      <c r="P105" s="52"/>
      <c r="Q105" s="52"/>
      <c r="R105" s="52"/>
      <c r="S105" s="52"/>
      <c r="T105" s="52"/>
      <c r="U105" s="52"/>
      <c r="V105" s="52"/>
      <c r="W105" s="52"/>
    </row>
    <row r="106" spans="1:23" hidden="1" outlineLevel="1" x14ac:dyDescent="0.3">
      <c r="A106" s="11" t="s">
        <v>21</v>
      </c>
      <c r="B106" s="36"/>
      <c r="C106" s="10"/>
      <c r="D106" s="10"/>
      <c r="E106" s="9"/>
      <c r="F106" s="9"/>
      <c r="G106" s="9"/>
      <c r="H106" s="9"/>
      <c r="I106" s="10"/>
      <c r="J106" s="10"/>
      <c r="K106" s="10"/>
      <c r="L106" s="12"/>
      <c r="M106" s="58"/>
      <c r="N106" s="52"/>
      <c r="O106" s="52"/>
      <c r="P106" s="52"/>
      <c r="Q106" s="52"/>
      <c r="R106" s="52"/>
      <c r="S106" s="52"/>
      <c r="T106" s="52"/>
      <c r="U106" s="52"/>
      <c r="V106" s="52"/>
      <c r="W106" s="52"/>
    </row>
    <row r="107" spans="1:23" hidden="1" outlineLevel="1" x14ac:dyDescent="0.3">
      <c r="A107" s="11" t="s">
        <v>21</v>
      </c>
      <c r="B107" s="36"/>
      <c r="C107" s="10"/>
      <c r="D107" s="10"/>
      <c r="E107" s="9"/>
      <c r="F107" s="9"/>
      <c r="G107" s="9"/>
      <c r="H107" s="9"/>
      <c r="I107" s="10"/>
      <c r="J107" s="10"/>
      <c r="K107" s="10"/>
      <c r="L107" s="12"/>
      <c r="M107" s="58"/>
      <c r="N107" s="52"/>
      <c r="O107" s="52"/>
      <c r="P107" s="52"/>
      <c r="Q107" s="52"/>
      <c r="R107" s="52"/>
      <c r="S107" s="52"/>
      <c r="T107" s="52"/>
      <c r="U107" s="52"/>
      <c r="V107" s="52"/>
      <c r="W107" s="52"/>
    </row>
    <row r="108" spans="1:23" ht="16.2" hidden="1" outlineLevel="1" thickBot="1" x14ac:dyDescent="0.35">
      <c r="A108" s="13" t="s">
        <v>21</v>
      </c>
      <c r="B108" s="40"/>
      <c r="C108" s="15"/>
      <c r="D108" s="15"/>
      <c r="E108" s="14"/>
      <c r="F108" s="14"/>
      <c r="G108" s="14"/>
      <c r="H108" s="14"/>
      <c r="I108" s="15"/>
      <c r="J108" s="15"/>
      <c r="K108" s="15"/>
      <c r="L108" s="16"/>
      <c r="M108" s="58"/>
      <c r="N108" s="52"/>
      <c r="O108" s="52"/>
      <c r="P108" s="52"/>
      <c r="Q108" s="52"/>
      <c r="R108" s="52"/>
      <c r="S108" s="52"/>
      <c r="T108" s="52"/>
      <c r="U108" s="52"/>
      <c r="V108" s="52"/>
      <c r="W108" s="52"/>
    </row>
    <row r="109" spans="1:23" ht="72.599999999999994" hidden="1" outlineLevel="1" thickBot="1" x14ac:dyDescent="0.35">
      <c r="A109" s="27" t="s">
        <v>23</v>
      </c>
      <c r="B109" s="28" t="s">
        <v>22</v>
      </c>
      <c r="C109" s="23">
        <v>2020</v>
      </c>
      <c r="D109" s="23">
        <v>0.4</v>
      </c>
      <c r="E109" s="17">
        <f>E110</f>
        <v>0</v>
      </c>
      <c r="F109" s="17">
        <f>F110</f>
        <v>0</v>
      </c>
      <c r="G109" s="17">
        <f>G110</f>
        <v>0</v>
      </c>
      <c r="H109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09" s="23" t="s">
        <v>17</v>
      </c>
      <c r="J109" s="23" t="s">
        <v>17</v>
      </c>
      <c r="K109" s="23" t="s">
        <v>17</v>
      </c>
      <c r="L109" s="24" t="s">
        <v>17</v>
      </c>
      <c r="M109" s="58"/>
      <c r="N109" s="52"/>
      <c r="O109" s="52"/>
      <c r="P109" s="52"/>
      <c r="Q109" s="52"/>
      <c r="R109" s="52"/>
      <c r="S109" s="52"/>
      <c r="T109" s="52"/>
      <c r="U109" s="52"/>
      <c r="V109" s="52"/>
      <c r="W109" s="52"/>
    </row>
    <row r="110" spans="1:23" ht="16.2" hidden="1" outlineLevel="1" thickBot="1" x14ac:dyDescent="0.35">
      <c r="A110" s="66" t="s">
        <v>23</v>
      </c>
      <c r="B110" s="38"/>
      <c r="C110" s="37"/>
      <c r="D110" s="37"/>
      <c r="E110" s="39"/>
      <c r="F110" s="39"/>
      <c r="G110" s="39"/>
      <c r="H110" s="39"/>
      <c r="I110" s="37"/>
      <c r="J110" s="37"/>
      <c r="K110" s="37"/>
      <c r="L110" s="67"/>
      <c r="M110" s="58"/>
      <c r="N110" s="52"/>
      <c r="O110" s="52"/>
      <c r="P110" s="52"/>
      <c r="Q110" s="52"/>
      <c r="R110" s="52"/>
      <c r="S110" s="52"/>
      <c r="T110" s="52"/>
      <c r="U110" s="52"/>
      <c r="V110" s="52"/>
      <c r="W110" s="52"/>
    </row>
    <row r="111" spans="1:23" ht="72.599999999999994" collapsed="1" thickBot="1" x14ac:dyDescent="0.35">
      <c r="A111" s="403" t="s">
        <v>63</v>
      </c>
      <c r="B111" s="28" t="s">
        <v>64</v>
      </c>
      <c r="C111" s="23">
        <v>2020</v>
      </c>
      <c r="D111" s="23">
        <v>6</v>
      </c>
      <c r="E111" s="17">
        <f>E112</f>
        <v>350</v>
      </c>
      <c r="F111" s="17">
        <f>F112</f>
        <v>80</v>
      </c>
      <c r="G111" s="17">
        <f>G112</f>
        <v>130.28280000000001</v>
      </c>
      <c r="H111" s="17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0.37223657142857147</v>
      </c>
      <c r="I111" s="23" t="s">
        <v>17</v>
      </c>
      <c r="J111" s="23" t="s">
        <v>17</v>
      </c>
      <c r="K111" s="23" t="s">
        <v>17</v>
      </c>
      <c r="L111" s="24" t="s">
        <v>17</v>
      </c>
      <c r="M111" s="58"/>
      <c r="N111" s="52"/>
      <c r="O111" s="52"/>
      <c r="P111" s="52"/>
      <c r="Q111" s="52"/>
      <c r="R111" s="52"/>
      <c r="S111" s="52"/>
      <c r="T111" s="52"/>
      <c r="U111" s="52"/>
      <c r="V111" s="52"/>
      <c r="W111" s="52"/>
    </row>
    <row r="112" spans="1:23" ht="38.4" customHeight="1" x14ac:dyDescent="0.3">
      <c r="A112" s="10" t="s">
        <v>63</v>
      </c>
      <c r="B112" s="397" t="s">
        <v>811</v>
      </c>
      <c r="C112" s="166">
        <v>2019</v>
      </c>
      <c r="D112" s="166">
        <v>0.4</v>
      </c>
      <c r="E112" s="167">
        <v>350</v>
      </c>
      <c r="F112" s="166">
        <v>80</v>
      </c>
      <c r="G112" s="167">
        <v>130.28280000000001</v>
      </c>
      <c r="H112" s="395">
        <f>G112/F112</f>
        <v>1.6285350000000001</v>
      </c>
      <c r="I112" s="168" t="s">
        <v>812</v>
      </c>
      <c r="J112" s="166" t="s">
        <v>813</v>
      </c>
      <c r="K112" s="169" t="s">
        <v>165</v>
      </c>
      <c r="L112" s="170" t="s">
        <v>164</v>
      </c>
      <c r="M112" s="58"/>
      <c r="N112" s="52"/>
      <c r="O112" s="52"/>
      <c r="P112" s="52"/>
      <c r="Q112" s="52"/>
      <c r="R112" s="52"/>
      <c r="S112" s="52"/>
      <c r="T112" s="52"/>
      <c r="U112" s="52"/>
      <c r="V112" s="52"/>
      <c r="W112" s="52"/>
    </row>
    <row r="113" spans="1:23" ht="36.75" hidden="1" customHeight="1" outlineLevel="1" collapsed="1" thickBot="1" x14ac:dyDescent="0.35">
      <c r="A113" s="404" t="s">
        <v>24</v>
      </c>
      <c r="B113" s="69" t="s">
        <v>25</v>
      </c>
      <c r="C113" s="70" t="s">
        <v>17</v>
      </c>
      <c r="D113" s="70" t="s">
        <v>17</v>
      </c>
      <c r="E113" s="71" t="s">
        <v>17</v>
      </c>
      <c r="F113" s="71" t="s">
        <v>17</v>
      </c>
      <c r="G113" s="71" t="s">
        <v>17</v>
      </c>
      <c r="H113" s="71" t="s">
        <v>17</v>
      </c>
      <c r="I113" s="70" t="s">
        <v>17</v>
      </c>
      <c r="J113" s="70" t="s">
        <v>17</v>
      </c>
      <c r="K113" s="70" t="s">
        <v>17</v>
      </c>
      <c r="L113" s="72" t="s">
        <v>17</v>
      </c>
      <c r="M113" s="58"/>
      <c r="N113" s="52"/>
      <c r="O113" s="52"/>
      <c r="P113" s="52"/>
      <c r="Q113" s="52"/>
      <c r="R113" s="52"/>
      <c r="S113" s="52"/>
      <c r="T113" s="52"/>
      <c r="U113" s="52"/>
      <c r="V113" s="52"/>
      <c r="W113" s="52"/>
    </row>
    <row r="114" spans="1:23" ht="72.599999999999994" hidden="1" outlineLevel="2" thickBot="1" x14ac:dyDescent="0.35">
      <c r="A114" s="27" t="s">
        <v>27</v>
      </c>
      <c r="B114" s="28" t="s">
        <v>28</v>
      </c>
      <c r="C114" s="23">
        <v>2020</v>
      </c>
      <c r="D114" s="23">
        <v>0.4</v>
      </c>
      <c r="E114" s="17">
        <f>E115</f>
        <v>0</v>
      </c>
      <c r="F114" s="17">
        <f>F115</f>
        <v>0</v>
      </c>
      <c r="G114" s="17">
        <f>G115</f>
        <v>0</v>
      </c>
      <c r="H114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4" s="23" t="s">
        <v>17</v>
      </c>
      <c r="J114" s="23" t="s">
        <v>17</v>
      </c>
      <c r="K114" s="23" t="s">
        <v>17</v>
      </c>
      <c r="L114" s="24" t="s">
        <v>17</v>
      </c>
      <c r="M114" s="58"/>
      <c r="N114" s="52"/>
      <c r="O114" s="52"/>
      <c r="P114" s="52"/>
      <c r="Q114" s="52"/>
      <c r="R114" s="52"/>
      <c r="S114" s="52"/>
      <c r="T114" s="52"/>
      <c r="U114" s="52"/>
      <c r="V114" s="52"/>
      <c r="W114" s="52"/>
    </row>
    <row r="115" spans="1:23" hidden="1" outlineLevel="2" x14ac:dyDescent="0.3">
      <c r="A115" s="66" t="s">
        <v>27</v>
      </c>
      <c r="B115" s="38"/>
      <c r="C115" s="37"/>
      <c r="D115" s="37"/>
      <c r="E115" s="39"/>
      <c r="F115" s="39"/>
      <c r="G115" s="39"/>
      <c r="H115" s="39"/>
      <c r="I115" s="37"/>
      <c r="J115" s="37"/>
      <c r="K115" s="37"/>
      <c r="L115" s="67"/>
      <c r="M115" s="58"/>
      <c r="N115" s="52"/>
      <c r="O115" s="52"/>
      <c r="P115" s="52"/>
      <c r="Q115" s="52"/>
      <c r="R115" s="52"/>
      <c r="S115" s="52"/>
      <c r="T115" s="52"/>
      <c r="U115" s="52"/>
      <c r="V115" s="52"/>
      <c r="W115" s="52"/>
    </row>
    <row r="116" spans="1:23" ht="72.599999999999994" hidden="1" outlineLevel="2" thickBot="1" x14ac:dyDescent="0.35">
      <c r="A116" s="27" t="s">
        <v>65</v>
      </c>
      <c r="B116" s="28" t="s">
        <v>66</v>
      </c>
      <c r="C116" s="23">
        <v>2020</v>
      </c>
      <c r="D116" s="23">
        <v>0.4</v>
      </c>
      <c r="E116" s="17">
        <f>E117</f>
        <v>0</v>
      </c>
      <c r="F116" s="17">
        <f>F117</f>
        <v>0</v>
      </c>
      <c r="G116" s="17">
        <f>G117</f>
        <v>0</v>
      </c>
      <c r="H116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6" s="23" t="s">
        <v>17</v>
      </c>
      <c r="J116" s="23" t="s">
        <v>17</v>
      </c>
      <c r="K116" s="23" t="s">
        <v>17</v>
      </c>
      <c r="L116" s="24" t="s">
        <v>17</v>
      </c>
      <c r="M116" s="58"/>
      <c r="N116" s="52"/>
      <c r="O116" s="52"/>
      <c r="P116" s="52"/>
      <c r="Q116" s="52"/>
      <c r="R116" s="52"/>
      <c r="S116" s="52"/>
      <c r="T116" s="52"/>
      <c r="U116" s="52"/>
      <c r="V116" s="52"/>
      <c r="W116" s="52"/>
    </row>
    <row r="117" spans="1:23" hidden="1" outlineLevel="2" x14ac:dyDescent="0.3">
      <c r="A117" s="66" t="s">
        <v>65</v>
      </c>
      <c r="B117" s="38"/>
      <c r="C117" s="37"/>
      <c r="D117" s="37"/>
      <c r="E117" s="39"/>
      <c r="F117" s="39"/>
      <c r="G117" s="39"/>
      <c r="H117" s="39"/>
      <c r="I117" s="37"/>
      <c r="J117" s="37"/>
      <c r="K117" s="37"/>
      <c r="L117" s="67"/>
      <c r="M117" s="58"/>
      <c r="N117" s="52"/>
      <c r="O117" s="52"/>
      <c r="P117" s="52"/>
      <c r="Q117" s="52"/>
      <c r="R117" s="52"/>
      <c r="S117" s="52"/>
      <c r="T117" s="52"/>
      <c r="U117" s="52"/>
      <c r="V117" s="52"/>
      <c r="W117" s="52"/>
    </row>
    <row r="118" spans="1:23" ht="72.599999999999994" hidden="1" outlineLevel="2" thickBot="1" x14ac:dyDescent="0.35">
      <c r="A118" s="27" t="s">
        <v>29</v>
      </c>
      <c r="B118" s="28" t="s">
        <v>30</v>
      </c>
      <c r="C118" s="23">
        <v>2020</v>
      </c>
      <c r="D118" s="23">
        <v>0.4</v>
      </c>
      <c r="E118" s="17">
        <f>SUM(E119:E134)</f>
        <v>0</v>
      </c>
      <c r="F118" s="17">
        <f>SUM(F119:F134)</f>
        <v>0</v>
      </c>
      <c r="G118" s="17">
        <f>SUM(G119:G134)</f>
        <v>0</v>
      </c>
      <c r="H118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8" s="23" t="s">
        <v>17</v>
      </c>
      <c r="J118" s="23" t="s">
        <v>17</v>
      </c>
      <c r="K118" s="23" t="s">
        <v>17</v>
      </c>
      <c r="L118" s="24" t="s">
        <v>17</v>
      </c>
      <c r="M118" s="58"/>
      <c r="N118" s="52"/>
      <c r="O118" s="52"/>
      <c r="P118" s="52"/>
      <c r="Q118" s="52"/>
      <c r="R118" s="52"/>
      <c r="S118" s="52"/>
      <c r="T118" s="52"/>
      <c r="U118" s="52"/>
      <c r="V118" s="52"/>
      <c r="W118" s="52"/>
    </row>
    <row r="119" spans="1:23" hidden="1" outlineLevel="2" x14ac:dyDescent="0.3">
      <c r="A119" s="29" t="s">
        <v>29</v>
      </c>
      <c r="B119" s="30"/>
      <c r="C119" s="25"/>
      <c r="D119" s="25"/>
      <c r="E119" s="18"/>
      <c r="F119" s="18"/>
      <c r="G119" s="18"/>
      <c r="H119" s="18"/>
      <c r="I119" s="25"/>
      <c r="J119" s="25"/>
      <c r="K119" s="25"/>
      <c r="L119" s="26"/>
      <c r="M119" s="58"/>
      <c r="N119" s="52"/>
      <c r="O119" s="52"/>
      <c r="P119" s="52"/>
      <c r="Q119" s="52"/>
      <c r="R119" s="52"/>
      <c r="S119" s="52"/>
      <c r="T119" s="52"/>
      <c r="U119" s="52"/>
      <c r="V119" s="52"/>
      <c r="W119" s="52"/>
    </row>
    <row r="120" spans="1:23" hidden="1" outlineLevel="2" x14ac:dyDescent="0.3">
      <c r="A120" s="11" t="s">
        <v>29</v>
      </c>
      <c r="B120" s="36"/>
      <c r="C120" s="10"/>
      <c r="D120" s="10"/>
      <c r="E120" s="9"/>
      <c r="F120" s="9"/>
      <c r="G120" s="9"/>
      <c r="H120" s="9"/>
      <c r="I120" s="10"/>
      <c r="J120" s="10"/>
      <c r="K120" s="10"/>
      <c r="L120" s="12"/>
      <c r="M120" s="58"/>
      <c r="N120" s="52"/>
      <c r="O120" s="52"/>
      <c r="P120" s="52"/>
      <c r="Q120" s="52"/>
      <c r="R120" s="52"/>
      <c r="S120" s="52"/>
      <c r="T120" s="52"/>
      <c r="U120" s="52"/>
      <c r="V120" s="52"/>
      <c r="W120" s="52"/>
    </row>
    <row r="121" spans="1:23" hidden="1" outlineLevel="2" x14ac:dyDescent="0.3">
      <c r="A121" s="11" t="s">
        <v>29</v>
      </c>
      <c r="B121" s="36"/>
      <c r="C121" s="10"/>
      <c r="D121" s="10"/>
      <c r="E121" s="9"/>
      <c r="F121" s="9"/>
      <c r="G121" s="9"/>
      <c r="H121" s="9"/>
      <c r="I121" s="10"/>
      <c r="J121" s="10"/>
      <c r="K121" s="10"/>
      <c r="L121" s="12"/>
      <c r="M121" s="58"/>
      <c r="N121" s="52"/>
      <c r="O121" s="52"/>
      <c r="P121" s="52"/>
      <c r="Q121" s="52"/>
      <c r="R121" s="52"/>
      <c r="S121" s="52"/>
      <c r="T121" s="52"/>
      <c r="U121" s="52"/>
      <c r="V121" s="52"/>
      <c r="W121" s="52"/>
    </row>
    <row r="122" spans="1:23" hidden="1" outlineLevel="2" x14ac:dyDescent="0.3">
      <c r="A122" s="11" t="s">
        <v>29</v>
      </c>
      <c r="B122" s="36"/>
      <c r="C122" s="10"/>
      <c r="D122" s="10"/>
      <c r="E122" s="9"/>
      <c r="F122" s="9"/>
      <c r="G122" s="9"/>
      <c r="H122" s="9"/>
      <c r="I122" s="10"/>
      <c r="J122" s="10"/>
      <c r="K122" s="10"/>
      <c r="L122" s="12"/>
      <c r="M122" s="58"/>
      <c r="N122" s="52"/>
      <c r="O122" s="52"/>
      <c r="P122" s="52"/>
      <c r="Q122" s="52"/>
      <c r="R122" s="52"/>
      <c r="S122" s="52"/>
      <c r="T122" s="52"/>
      <c r="U122" s="52"/>
      <c r="V122" s="52"/>
      <c r="W122" s="52"/>
    </row>
    <row r="123" spans="1:23" hidden="1" outlineLevel="2" x14ac:dyDescent="0.3">
      <c r="A123" s="11" t="s">
        <v>29</v>
      </c>
      <c r="B123" s="36"/>
      <c r="C123" s="10"/>
      <c r="D123" s="10"/>
      <c r="E123" s="9"/>
      <c r="F123" s="9"/>
      <c r="G123" s="9"/>
      <c r="H123" s="9"/>
      <c r="I123" s="10"/>
      <c r="J123" s="10"/>
      <c r="K123" s="10"/>
      <c r="L123" s="12"/>
      <c r="M123" s="58"/>
      <c r="N123" s="52"/>
      <c r="O123" s="52"/>
      <c r="P123" s="52"/>
      <c r="Q123" s="52"/>
      <c r="R123" s="52"/>
      <c r="S123" s="52"/>
      <c r="T123" s="52"/>
      <c r="U123" s="52"/>
      <c r="V123" s="52"/>
      <c r="W123" s="52"/>
    </row>
    <row r="124" spans="1:23" hidden="1" outlineLevel="2" x14ac:dyDescent="0.3">
      <c r="A124" s="11" t="s">
        <v>29</v>
      </c>
      <c r="B124" s="36"/>
      <c r="C124" s="10"/>
      <c r="D124" s="10"/>
      <c r="E124" s="9"/>
      <c r="F124" s="9"/>
      <c r="G124" s="9"/>
      <c r="H124" s="9"/>
      <c r="I124" s="10"/>
      <c r="J124" s="10"/>
      <c r="K124" s="10"/>
      <c r="L124" s="12"/>
      <c r="M124" s="58"/>
      <c r="N124" s="52"/>
      <c r="O124" s="52"/>
      <c r="P124" s="52"/>
      <c r="Q124" s="52"/>
      <c r="R124" s="52"/>
      <c r="S124" s="52"/>
      <c r="T124" s="52"/>
      <c r="U124" s="52"/>
      <c r="V124" s="52"/>
      <c r="W124" s="52"/>
    </row>
    <row r="125" spans="1:23" hidden="1" outlineLevel="2" x14ac:dyDescent="0.3">
      <c r="A125" s="11" t="s">
        <v>29</v>
      </c>
      <c r="B125" s="36"/>
      <c r="C125" s="10"/>
      <c r="D125" s="10"/>
      <c r="E125" s="9"/>
      <c r="F125" s="9"/>
      <c r="G125" s="9"/>
      <c r="H125" s="9"/>
      <c r="I125" s="10"/>
      <c r="J125" s="10"/>
      <c r="K125" s="10"/>
      <c r="L125" s="12"/>
      <c r="M125" s="58"/>
      <c r="N125" s="52"/>
      <c r="O125" s="52"/>
      <c r="P125" s="52"/>
      <c r="Q125" s="52"/>
      <c r="R125" s="52"/>
      <c r="S125" s="52"/>
      <c r="T125" s="52"/>
      <c r="U125" s="52"/>
      <c r="V125" s="52"/>
      <c r="W125" s="52"/>
    </row>
    <row r="126" spans="1:23" hidden="1" outlineLevel="2" x14ac:dyDescent="0.3">
      <c r="A126" s="11" t="s">
        <v>29</v>
      </c>
      <c r="B126" s="36"/>
      <c r="C126" s="10"/>
      <c r="D126" s="10"/>
      <c r="E126" s="9"/>
      <c r="F126" s="9"/>
      <c r="G126" s="9"/>
      <c r="H126" s="9"/>
      <c r="I126" s="10"/>
      <c r="J126" s="10"/>
      <c r="K126" s="10"/>
      <c r="L126" s="12"/>
      <c r="M126" s="58"/>
      <c r="N126" s="52"/>
      <c r="O126" s="52"/>
      <c r="P126" s="52"/>
      <c r="Q126" s="52"/>
      <c r="R126" s="52"/>
      <c r="S126" s="52"/>
      <c r="T126" s="52"/>
      <c r="U126" s="52"/>
      <c r="V126" s="52"/>
      <c r="W126" s="52"/>
    </row>
    <row r="127" spans="1:23" hidden="1" outlineLevel="2" x14ac:dyDescent="0.3">
      <c r="A127" s="11" t="s">
        <v>29</v>
      </c>
      <c r="B127" s="36"/>
      <c r="C127" s="10"/>
      <c r="D127" s="10"/>
      <c r="E127" s="9"/>
      <c r="F127" s="9"/>
      <c r="G127" s="9"/>
      <c r="H127" s="9"/>
      <c r="I127" s="10"/>
      <c r="J127" s="10"/>
      <c r="K127" s="10"/>
      <c r="L127" s="12"/>
      <c r="M127" s="58"/>
      <c r="N127" s="52"/>
      <c r="O127" s="52"/>
      <c r="P127" s="52"/>
      <c r="Q127" s="52"/>
      <c r="R127" s="52"/>
      <c r="S127" s="52"/>
      <c r="T127" s="52"/>
      <c r="U127" s="52"/>
      <c r="V127" s="52"/>
      <c r="W127" s="52"/>
    </row>
    <row r="128" spans="1:23" hidden="1" outlineLevel="2" x14ac:dyDescent="0.3">
      <c r="A128" s="11" t="s">
        <v>29</v>
      </c>
      <c r="B128" s="36"/>
      <c r="C128" s="10"/>
      <c r="D128" s="10"/>
      <c r="E128" s="9"/>
      <c r="F128" s="9"/>
      <c r="G128" s="9"/>
      <c r="H128" s="9"/>
      <c r="I128" s="10"/>
      <c r="J128" s="10"/>
      <c r="K128" s="10"/>
      <c r="L128" s="12"/>
      <c r="M128" s="58"/>
      <c r="N128" s="52"/>
      <c r="O128" s="52"/>
      <c r="P128" s="52"/>
      <c r="Q128" s="52"/>
      <c r="R128" s="52"/>
      <c r="S128" s="52"/>
      <c r="T128" s="52"/>
      <c r="U128" s="52"/>
      <c r="V128" s="52"/>
      <c r="W128" s="52"/>
    </row>
    <row r="129" spans="1:23" hidden="1" outlineLevel="2" x14ac:dyDescent="0.3">
      <c r="A129" s="11" t="s">
        <v>29</v>
      </c>
      <c r="B129" s="36"/>
      <c r="C129" s="10"/>
      <c r="D129" s="10"/>
      <c r="E129" s="9"/>
      <c r="F129" s="9"/>
      <c r="G129" s="9"/>
      <c r="H129" s="9"/>
      <c r="I129" s="10"/>
      <c r="J129" s="10"/>
      <c r="K129" s="10"/>
      <c r="L129" s="12"/>
      <c r="M129" s="58"/>
      <c r="N129" s="52"/>
      <c r="O129" s="52"/>
      <c r="P129" s="52"/>
      <c r="Q129" s="52"/>
      <c r="R129" s="52"/>
      <c r="S129" s="52"/>
      <c r="T129" s="52"/>
      <c r="U129" s="52"/>
      <c r="V129" s="52"/>
      <c r="W129" s="52"/>
    </row>
    <row r="130" spans="1:23" hidden="1" outlineLevel="2" x14ac:dyDescent="0.3">
      <c r="A130" s="11" t="s">
        <v>29</v>
      </c>
      <c r="B130" s="36"/>
      <c r="C130" s="10"/>
      <c r="D130" s="10"/>
      <c r="E130" s="9"/>
      <c r="F130" s="9"/>
      <c r="G130" s="9"/>
      <c r="H130" s="9"/>
      <c r="I130" s="10"/>
      <c r="J130" s="10"/>
      <c r="K130" s="10"/>
      <c r="L130" s="12"/>
      <c r="M130" s="58"/>
      <c r="N130" s="52"/>
      <c r="O130" s="52"/>
      <c r="P130" s="52"/>
      <c r="Q130" s="52"/>
      <c r="R130" s="52"/>
      <c r="S130" s="52"/>
      <c r="T130" s="52"/>
      <c r="U130" s="52"/>
      <c r="V130" s="52"/>
      <c r="W130" s="52"/>
    </row>
    <row r="131" spans="1:23" hidden="1" outlineLevel="2" x14ac:dyDescent="0.3">
      <c r="A131" s="11" t="s">
        <v>29</v>
      </c>
      <c r="B131" s="36"/>
      <c r="C131" s="10"/>
      <c r="D131" s="10"/>
      <c r="E131" s="9"/>
      <c r="F131" s="9"/>
      <c r="G131" s="9"/>
      <c r="H131" s="9"/>
      <c r="I131" s="10"/>
      <c r="J131" s="10"/>
      <c r="K131" s="10"/>
      <c r="L131" s="12"/>
      <c r="M131" s="58"/>
      <c r="N131" s="52"/>
      <c r="O131" s="52"/>
      <c r="P131" s="52"/>
      <c r="Q131" s="52"/>
      <c r="R131" s="52"/>
      <c r="S131" s="52"/>
      <c r="T131" s="52"/>
      <c r="U131" s="52"/>
      <c r="V131" s="52"/>
      <c r="W131" s="52"/>
    </row>
    <row r="132" spans="1:23" hidden="1" outlineLevel="2" x14ac:dyDescent="0.3">
      <c r="A132" s="11" t="s">
        <v>29</v>
      </c>
      <c r="B132" s="36"/>
      <c r="C132" s="10"/>
      <c r="D132" s="10"/>
      <c r="E132" s="9"/>
      <c r="F132" s="9"/>
      <c r="G132" s="9"/>
      <c r="H132" s="9"/>
      <c r="I132" s="10"/>
      <c r="J132" s="10"/>
      <c r="K132" s="10"/>
      <c r="L132" s="12"/>
      <c r="M132" s="58"/>
      <c r="N132" s="52"/>
      <c r="O132" s="52"/>
      <c r="P132" s="52"/>
      <c r="Q132" s="52"/>
      <c r="R132" s="52"/>
      <c r="S132" s="52"/>
      <c r="T132" s="52"/>
      <c r="U132" s="52"/>
      <c r="V132" s="52"/>
      <c r="W132" s="52"/>
    </row>
    <row r="133" spans="1:23" hidden="1" outlineLevel="2" x14ac:dyDescent="0.3">
      <c r="A133" s="11" t="s">
        <v>29</v>
      </c>
      <c r="B133" s="36"/>
      <c r="C133" s="10"/>
      <c r="D133" s="10"/>
      <c r="E133" s="9"/>
      <c r="F133" s="9"/>
      <c r="G133" s="9"/>
      <c r="H133" s="9"/>
      <c r="I133" s="10"/>
      <c r="J133" s="10"/>
      <c r="K133" s="10"/>
      <c r="L133" s="12"/>
      <c r="M133" s="58"/>
      <c r="N133" s="52"/>
      <c r="O133" s="52"/>
      <c r="P133" s="52"/>
      <c r="Q133" s="52"/>
      <c r="R133" s="52"/>
      <c r="S133" s="52"/>
      <c r="T133" s="52"/>
      <c r="U133" s="52"/>
      <c r="V133" s="52"/>
      <c r="W133" s="52"/>
    </row>
    <row r="134" spans="1:23" hidden="1" outlineLevel="2" x14ac:dyDescent="0.3">
      <c r="A134" s="13" t="s">
        <v>29</v>
      </c>
      <c r="B134" s="40"/>
      <c r="C134" s="15"/>
      <c r="D134" s="15"/>
      <c r="E134" s="14"/>
      <c r="F134" s="14"/>
      <c r="G134" s="14"/>
      <c r="H134" s="14"/>
      <c r="I134" s="15"/>
      <c r="J134" s="15"/>
      <c r="K134" s="15"/>
      <c r="L134" s="16"/>
      <c r="M134" s="58"/>
      <c r="N134" s="52"/>
      <c r="O134" s="52"/>
      <c r="P134" s="52"/>
      <c r="Q134" s="52"/>
      <c r="R134" s="52"/>
      <c r="S134" s="52"/>
      <c r="T134" s="52"/>
      <c r="U134" s="52"/>
      <c r="V134" s="52"/>
      <c r="W134" s="52"/>
    </row>
    <row r="135" spans="1:23" ht="72.599999999999994" hidden="1" outlineLevel="2" thickBot="1" x14ac:dyDescent="0.35">
      <c r="A135" s="27" t="s">
        <v>31</v>
      </c>
      <c r="B135" s="28" t="s">
        <v>32</v>
      </c>
      <c r="C135" s="23">
        <v>2020</v>
      </c>
      <c r="D135" s="23">
        <v>0.4</v>
      </c>
      <c r="E135" s="17">
        <f>SUM(E136:E137)</f>
        <v>0</v>
      </c>
      <c r="F135" s="17">
        <f>SUM(F136:F137)</f>
        <v>0</v>
      </c>
      <c r="G135" s="17">
        <f>SUM(G136:G137)</f>
        <v>0</v>
      </c>
      <c r="H135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5" s="23" t="s">
        <v>17</v>
      </c>
      <c r="J135" s="23" t="s">
        <v>17</v>
      </c>
      <c r="K135" s="23" t="s">
        <v>17</v>
      </c>
      <c r="L135" s="24" t="s">
        <v>17</v>
      </c>
      <c r="M135" s="58"/>
      <c r="N135" s="52"/>
      <c r="O135" s="52"/>
      <c r="P135" s="52"/>
      <c r="Q135" s="52"/>
      <c r="R135" s="52"/>
      <c r="S135" s="52"/>
      <c r="T135" s="52"/>
      <c r="U135" s="52"/>
      <c r="V135" s="52"/>
      <c r="W135" s="52"/>
    </row>
    <row r="136" spans="1:23" hidden="1" outlineLevel="2" x14ac:dyDescent="0.3">
      <c r="A136" s="29" t="s">
        <v>31</v>
      </c>
      <c r="B136" s="30"/>
      <c r="C136" s="25"/>
      <c r="D136" s="25"/>
      <c r="E136" s="18"/>
      <c r="F136" s="18"/>
      <c r="G136" s="18"/>
      <c r="H136" s="18"/>
      <c r="I136" s="25"/>
      <c r="J136" s="25"/>
      <c r="K136" s="25"/>
      <c r="L136" s="26"/>
      <c r="M136" s="58"/>
      <c r="N136" s="52"/>
      <c r="O136" s="52"/>
      <c r="P136" s="52"/>
      <c r="Q136" s="52"/>
      <c r="R136" s="52"/>
      <c r="S136" s="52"/>
      <c r="T136" s="52"/>
      <c r="U136" s="52"/>
      <c r="V136" s="52"/>
      <c r="W136" s="52"/>
    </row>
    <row r="137" spans="1:23" hidden="1" outlineLevel="2" x14ac:dyDescent="0.3">
      <c r="A137" s="13" t="s">
        <v>31</v>
      </c>
      <c r="B137" s="40"/>
      <c r="C137" s="15"/>
      <c r="D137" s="15"/>
      <c r="E137" s="14"/>
      <c r="F137" s="14"/>
      <c r="G137" s="14"/>
      <c r="H137" s="14"/>
      <c r="I137" s="15"/>
      <c r="J137" s="15"/>
      <c r="K137" s="15"/>
      <c r="L137" s="16"/>
      <c r="M137" s="58"/>
      <c r="N137" s="52"/>
      <c r="O137" s="52"/>
      <c r="P137" s="52"/>
      <c r="Q137" s="52"/>
      <c r="R137" s="52"/>
      <c r="S137" s="52"/>
      <c r="T137" s="52"/>
      <c r="U137" s="52"/>
      <c r="V137" s="52"/>
      <c r="W137" s="52"/>
    </row>
    <row r="138" spans="1:23" ht="72.599999999999994" hidden="1" outlineLevel="2" thickBot="1" x14ac:dyDescent="0.35">
      <c r="A138" s="27" t="s">
        <v>33</v>
      </c>
      <c r="B138" s="28" t="s">
        <v>34</v>
      </c>
      <c r="C138" s="23">
        <v>2020</v>
      </c>
      <c r="D138" s="23">
        <v>6</v>
      </c>
      <c r="E138" s="17">
        <f>SUM(E139:E140)</f>
        <v>0</v>
      </c>
      <c r="F138" s="17">
        <f>SUM(F139:F140)</f>
        <v>0</v>
      </c>
      <c r="G138" s="17">
        <f>SUM(G139:G140)</f>
        <v>0</v>
      </c>
      <c r="H138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8" s="23" t="s">
        <v>17</v>
      </c>
      <c r="J138" s="23" t="s">
        <v>17</v>
      </c>
      <c r="K138" s="23" t="s">
        <v>17</v>
      </c>
      <c r="L138" s="24" t="s">
        <v>17</v>
      </c>
      <c r="M138" s="58"/>
      <c r="N138" s="52"/>
      <c r="O138" s="52"/>
      <c r="P138" s="52"/>
      <c r="Q138" s="52"/>
      <c r="R138" s="52"/>
      <c r="S138" s="52"/>
      <c r="T138" s="52"/>
      <c r="U138" s="52"/>
      <c r="V138" s="52"/>
      <c r="W138" s="52"/>
    </row>
    <row r="139" spans="1:23" hidden="1" outlineLevel="2" x14ac:dyDescent="0.3">
      <c r="A139" s="29" t="s">
        <v>33</v>
      </c>
      <c r="B139" s="30"/>
      <c r="C139" s="25"/>
      <c r="D139" s="25"/>
      <c r="E139" s="18"/>
      <c r="F139" s="18"/>
      <c r="G139" s="18"/>
      <c r="H139" s="18"/>
      <c r="I139" s="25"/>
      <c r="J139" s="25"/>
      <c r="K139" s="25"/>
      <c r="L139" s="26"/>
      <c r="M139" s="58"/>
      <c r="N139" s="52"/>
      <c r="O139" s="52"/>
      <c r="P139" s="52"/>
      <c r="Q139" s="52"/>
      <c r="R139" s="52"/>
      <c r="S139" s="52"/>
      <c r="T139" s="52"/>
      <c r="U139" s="52"/>
      <c r="V139" s="52"/>
      <c r="W139" s="52"/>
    </row>
    <row r="140" spans="1:23" hidden="1" outlineLevel="2" x14ac:dyDescent="0.3">
      <c r="A140" s="13" t="s">
        <v>33</v>
      </c>
      <c r="B140" s="40"/>
      <c r="C140" s="15"/>
      <c r="D140" s="15"/>
      <c r="E140" s="14"/>
      <c r="F140" s="14"/>
      <c r="G140" s="14"/>
      <c r="H140" s="14"/>
      <c r="I140" s="15"/>
      <c r="J140" s="15"/>
      <c r="K140" s="15"/>
      <c r="L140" s="16"/>
      <c r="M140" s="58"/>
      <c r="N140" s="52"/>
      <c r="O140" s="52"/>
      <c r="P140" s="52"/>
      <c r="Q140" s="52"/>
      <c r="R140" s="52"/>
      <c r="S140" s="52"/>
      <c r="T140" s="52"/>
      <c r="U140" s="52"/>
      <c r="V140" s="52"/>
      <c r="W140" s="52"/>
    </row>
    <row r="141" spans="1:23" ht="72.599999999999994" hidden="1" outlineLevel="2" thickBot="1" x14ac:dyDescent="0.35">
      <c r="A141" s="27" t="s">
        <v>35</v>
      </c>
      <c r="B141" s="28" t="s">
        <v>36</v>
      </c>
      <c r="C141" s="23">
        <v>2020</v>
      </c>
      <c r="D141" s="23">
        <v>6</v>
      </c>
      <c r="E141" s="17">
        <f>SUM(E142:E143)</f>
        <v>0</v>
      </c>
      <c r="F141" s="17">
        <f>SUM(F142:F143)</f>
        <v>0</v>
      </c>
      <c r="G141" s="17">
        <f>SUM(G142:G143)</f>
        <v>0</v>
      </c>
      <c r="H141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1" s="23" t="s">
        <v>17</v>
      </c>
      <c r="J141" s="23" t="s">
        <v>17</v>
      </c>
      <c r="K141" s="23" t="s">
        <v>17</v>
      </c>
      <c r="L141" s="24" t="s">
        <v>17</v>
      </c>
      <c r="M141" s="58"/>
      <c r="N141" s="52"/>
      <c r="O141" s="52"/>
      <c r="P141" s="52"/>
      <c r="Q141" s="52"/>
      <c r="R141" s="52"/>
      <c r="S141" s="52"/>
      <c r="T141" s="52"/>
      <c r="U141" s="52"/>
      <c r="V141" s="52"/>
      <c r="W141" s="52"/>
    </row>
    <row r="142" spans="1:23" hidden="1" outlineLevel="2" x14ac:dyDescent="0.3">
      <c r="A142" s="29" t="s">
        <v>35</v>
      </c>
      <c r="B142" s="30"/>
      <c r="C142" s="25"/>
      <c r="D142" s="25"/>
      <c r="E142" s="18"/>
      <c r="F142" s="18"/>
      <c r="G142" s="18"/>
      <c r="H142" s="18"/>
      <c r="I142" s="25"/>
      <c r="J142" s="25"/>
      <c r="K142" s="25"/>
      <c r="L142" s="26"/>
      <c r="M142" s="58"/>
      <c r="N142" s="52"/>
      <c r="O142" s="52"/>
      <c r="P142" s="52"/>
      <c r="Q142" s="52"/>
      <c r="R142" s="52"/>
      <c r="S142" s="52"/>
      <c r="T142" s="52"/>
      <c r="U142" s="52"/>
      <c r="V142" s="52"/>
      <c r="W142" s="52"/>
    </row>
    <row r="143" spans="1:23" hidden="1" outlineLevel="2" x14ac:dyDescent="0.3">
      <c r="A143" s="13" t="s">
        <v>35</v>
      </c>
      <c r="B143" s="40"/>
      <c r="C143" s="15"/>
      <c r="D143" s="15"/>
      <c r="E143" s="14"/>
      <c r="F143" s="14"/>
      <c r="G143" s="14"/>
      <c r="H143" s="14"/>
      <c r="I143" s="15"/>
      <c r="J143" s="15"/>
      <c r="K143" s="15"/>
      <c r="L143" s="16"/>
      <c r="M143" s="58"/>
      <c r="N143" s="52"/>
      <c r="O143" s="52"/>
      <c r="P143" s="52"/>
      <c r="Q143" s="52"/>
      <c r="R143" s="52"/>
      <c r="S143" s="52"/>
      <c r="T143" s="52"/>
      <c r="U143" s="52"/>
      <c r="V143" s="52"/>
      <c r="W143" s="52"/>
    </row>
    <row r="144" spans="1:23" ht="90.6" hidden="1" outlineLevel="2" thickBot="1" x14ac:dyDescent="0.35">
      <c r="A144" s="27" t="s">
        <v>67</v>
      </c>
      <c r="B144" s="28" t="s">
        <v>68</v>
      </c>
      <c r="C144" s="23">
        <v>2020</v>
      </c>
      <c r="D144" s="23">
        <v>6</v>
      </c>
      <c r="E144" s="17">
        <f>E145</f>
        <v>0</v>
      </c>
      <c r="F144" s="17">
        <f>F145</f>
        <v>0</v>
      </c>
      <c r="G144" s="17">
        <f>G145</f>
        <v>0</v>
      </c>
      <c r="H144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4" s="23" t="s">
        <v>17</v>
      </c>
      <c r="J144" s="23" t="s">
        <v>17</v>
      </c>
      <c r="K144" s="23" t="s">
        <v>17</v>
      </c>
      <c r="L144" s="24" t="s">
        <v>17</v>
      </c>
      <c r="M144" s="58"/>
      <c r="N144" s="52"/>
      <c r="O144" s="52"/>
      <c r="P144" s="52"/>
      <c r="Q144" s="52"/>
      <c r="R144" s="52"/>
      <c r="S144" s="52"/>
      <c r="T144" s="52"/>
      <c r="U144" s="52"/>
      <c r="V144" s="52"/>
      <c r="W144" s="52"/>
    </row>
    <row r="145" spans="1:23" hidden="1" outlineLevel="2" x14ac:dyDescent="0.3">
      <c r="A145" s="29" t="s">
        <v>67</v>
      </c>
      <c r="B145" s="30"/>
      <c r="C145" s="25"/>
      <c r="D145" s="25"/>
      <c r="E145" s="18"/>
      <c r="F145" s="18"/>
      <c r="G145" s="18"/>
      <c r="H145" s="18"/>
      <c r="I145" s="25"/>
      <c r="J145" s="25"/>
      <c r="K145" s="25"/>
      <c r="L145" s="26"/>
      <c r="M145" s="58"/>
      <c r="N145" s="52"/>
      <c r="O145" s="52"/>
      <c r="P145" s="52"/>
      <c r="Q145" s="52"/>
      <c r="R145" s="52"/>
      <c r="S145" s="52"/>
      <c r="T145" s="52"/>
      <c r="U145" s="52"/>
      <c r="V145" s="52"/>
      <c r="W145" s="52"/>
    </row>
    <row r="146" spans="1:23" ht="72.599999999999994" hidden="1" outlineLevel="2" thickBot="1" x14ac:dyDescent="0.35">
      <c r="A146" s="73" t="s">
        <v>59</v>
      </c>
      <c r="B146" s="46" t="s">
        <v>69</v>
      </c>
      <c r="C146" s="45">
        <v>2020</v>
      </c>
      <c r="D146" s="45">
        <v>6</v>
      </c>
      <c r="E146" s="22">
        <f>SUM(E147:E148)</f>
        <v>0</v>
      </c>
      <c r="F146" s="22">
        <f>SUM(F147:F148)</f>
        <v>0</v>
      </c>
      <c r="G146" s="22">
        <f>SUM(G147:G148)</f>
        <v>0</v>
      </c>
      <c r="H146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6" s="23" t="s">
        <v>17</v>
      </c>
      <c r="J146" s="23" t="s">
        <v>17</v>
      </c>
      <c r="K146" s="23" t="s">
        <v>17</v>
      </c>
      <c r="L146" s="24" t="s">
        <v>17</v>
      </c>
      <c r="M146" s="58"/>
      <c r="N146" s="52"/>
      <c r="O146" s="52"/>
      <c r="P146" s="52"/>
      <c r="Q146" s="52"/>
      <c r="R146" s="52"/>
      <c r="S146" s="52"/>
      <c r="T146" s="52"/>
      <c r="U146" s="52"/>
      <c r="V146" s="52"/>
      <c r="W146" s="52"/>
    </row>
    <row r="147" spans="1:23" hidden="1" outlineLevel="2" x14ac:dyDescent="0.3">
      <c r="A147" s="11" t="s">
        <v>59</v>
      </c>
      <c r="B147" s="36"/>
      <c r="C147" s="10"/>
      <c r="D147" s="10"/>
      <c r="E147" s="9"/>
      <c r="F147" s="9"/>
      <c r="G147" s="9"/>
      <c r="H147" s="9"/>
      <c r="I147" s="10"/>
      <c r="J147" s="10"/>
      <c r="K147" s="10"/>
      <c r="L147" s="12"/>
      <c r="M147" s="58"/>
      <c r="N147" s="52"/>
      <c r="O147" s="52"/>
      <c r="P147" s="52"/>
      <c r="Q147" s="52"/>
      <c r="R147" s="52"/>
      <c r="S147" s="52"/>
      <c r="T147" s="52"/>
      <c r="U147" s="52"/>
      <c r="V147" s="52"/>
      <c r="W147" s="52"/>
    </row>
    <row r="148" spans="1:23" hidden="1" outlineLevel="2" x14ac:dyDescent="0.3">
      <c r="A148" s="13" t="s">
        <v>59</v>
      </c>
      <c r="B148" s="40"/>
      <c r="C148" s="15"/>
      <c r="D148" s="15"/>
      <c r="E148" s="14"/>
      <c r="F148" s="14"/>
      <c r="G148" s="14"/>
      <c r="H148" s="14"/>
      <c r="I148" s="15"/>
      <c r="J148" s="15"/>
      <c r="K148" s="15"/>
      <c r="L148" s="16"/>
      <c r="M148" s="58"/>
      <c r="N148" s="52"/>
      <c r="O148" s="52"/>
      <c r="P148" s="52"/>
      <c r="Q148" s="52"/>
      <c r="R148" s="52"/>
      <c r="S148" s="52"/>
      <c r="T148" s="52"/>
      <c r="U148" s="52"/>
      <c r="V148" s="52"/>
      <c r="W148" s="52"/>
    </row>
    <row r="149" spans="1:23" ht="72.599999999999994" hidden="1" outlineLevel="2" thickBot="1" x14ac:dyDescent="0.35">
      <c r="A149" s="27" t="s">
        <v>57</v>
      </c>
      <c r="B149" s="28" t="s">
        <v>70</v>
      </c>
      <c r="C149" s="23">
        <v>2020</v>
      </c>
      <c r="D149" s="23">
        <v>6</v>
      </c>
      <c r="E149" s="17">
        <f>SUM(E150:E151)</f>
        <v>0</v>
      </c>
      <c r="F149" s="17">
        <f>SUM(F150:F151)</f>
        <v>0</v>
      </c>
      <c r="G149" s="17">
        <f>SUM(G150:G151)</f>
        <v>0</v>
      </c>
      <c r="H149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9" s="23" t="s">
        <v>17</v>
      </c>
      <c r="J149" s="23" t="s">
        <v>17</v>
      </c>
      <c r="K149" s="23" t="s">
        <v>17</v>
      </c>
      <c r="L149" s="24" t="s">
        <v>17</v>
      </c>
      <c r="M149" s="58"/>
      <c r="N149" s="52"/>
      <c r="O149" s="52"/>
      <c r="P149" s="52"/>
      <c r="Q149" s="52"/>
      <c r="R149" s="52"/>
      <c r="S149" s="52"/>
      <c r="T149" s="52"/>
      <c r="U149" s="52"/>
      <c r="V149" s="52"/>
      <c r="W149" s="52"/>
    </row>
    <row r="150" spans="1:23" hidden="1" outlineLevel="2" x14ac:dyDescent="0.3">
      <c r="A150" s="29" t="s">
        <v>57</v>
      </c>
      <c r="B150" s="30"/>
      <c r="C150" s="25"/>
      <c r="D150" s="25"/>
      <c r="E150" s="18"/>
      <c r="F150" s="18"/>
      <c r="G150" s="18"/>
      <c r="H150" s="18"/>
      <c r="I150" s="25"/>
      <c r="J150" s="25"/>
      <c r="K150" s="25"/>
      <c r="L150" s="26"/>
      <c r="M150" s="58"/>
      <c r="N150" s="52"/>
      <c r="O150" s="52"/>
      <c r="P150" s="52"/>
      <c r="Q150" s="52"/>
      <c r="R150" s="52"/>
      <c r="S150" s="52"/>
      <c r="T150" s="52"/>
      <c r="U150" s="52"/>
      <c r="V150" s="52"/>
      <c r="W150" s="52"/>
    </row>
    <row r="151" spans="1:23" hidden="1" outlineLevel="2" x14ac:dyDescent="0.3">
      <c r="A151" s="13" t="s">
        <v>57</v>
      </c>
      <c r="B151" s="40"/>
      <c r="C151" s="15"/>
      <c r="D151" s="15"/>
      <c r="E151" s="14"/>
      <c r="F151" s="14"/>
      <c r="G151" s="14"/>
      <c r="H151" s="14"/>
      <c r="I151" s="15"/>
      <c r="J151" s="15"/>
      <c r="K151" s="15"/>
      <c r="L151" s="16"/>
      <c r="M151" s="58"/>
      <c r="N151" s="52"/>
      <c r="O151" s="52"/>
      <c r="P151" s="52"/>
      <c r="Q151" s="52"/>
      <c r="R151" s="52"/>
      <c r="S151" s="52"/>
      <c r="T151" s="52"/>
      <c r="U151" s="52"/>
      <c r="V151" s="52"/>
      <c r="W151" s="52"/>
    </row>
    <row r="152" spans="1:23" ht="108.6" hidden="1" outlineLevel="2" thickBot="1" x14ac:dyDescent="0.35">
      <c r="A152" s="27" t="s">
        <v>37</v>
      </c>
      <c r="B152" s="28" t="s">
        <v>38</v>
      </c>
      <c r="C152" s="23">
        <v>2020</v>
      </c>
      <c r="D152" s="23">
        <v>0.4</v>
      </c>
      <c r="E152" s="17">
        <f>SUM(E153:E154)</f>
        <v>0</v>
      </c>
      <c r="F152" s="17">
        <f>SUM(F153:F154)</f>
        <v>0</v>
      </c>
      <c r="G152" s="17">
        <f>SUM(G153:G154)</f>
        <v>0</v>
      </c>
      <c r="H152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2" s="23" t="s">
        <v>17</v>
      </c>
      <c r="J152" s="23" t="s">
        <v>17</v>
      </c>
      <c r="K152" s="23" t="s">
        <v>17</v>
      </c>
      <c r="L152" s="24" t="s">
        <v>17</v>
      </c>
      <c r="M152" s="58"/>
      <c r="N152" s="52"/>
      <c r="O152" s="52"/>
      <c r="P152" s="52"/>
      <c r="Q152" s="52"/>
      <c r="R152" s="52"/>
      <c r="S152" s="52"/>
      <c r="T152" s="52"/>
      <c r="U152" s="52"/>
      <c r="V152" s="52"/>
      <c r="W152" s="52"/>
    </row>
    <row r="153" spans="1:23" hidden="1" outlineLevel="2" x14ac:dyDescent="0.3">
      <c r="A153" s="29" t="s">
        <v>37</v>
      </c>
      <c r="B153" s="30"/>
      <c r="C153" s="25"/>
      <c r="D153" s="25"/>
      <c r="E153" s="18"/>
      <c r="F153" s="18"/>
      <c r="G153" s="18"/>
      <c r="H153" s="18"/>
      <c r="I153" s="25"/>
      <c r="J153" s="25"/>
      <c r="K153" s="25"/>
      <c r="L153" s="26"/>
      <c r="M153" s="58"/>
      <c r="N153" s="52"/>
      <c r="O153" s="52"/>
      <c r="P153" s="52"/>
      <c r="Q153" s="52"/>
      <c r="R153" s="52"/>
      <c r="S153" s="52"/>
      <c r="T153" s="52"/>
      <c r="U153" s="52"/>
      <c r="V153" s="52"/>
      <c r="W153" s="52"/>
    </row>
    <row r="154" spans="1:23" hidden="1" outlineLevel="2" x14ac:dyDescent="0.3">
      <c r="A154" s="13" t="s">
        <v>37</v>
      </c>
      <c r="B154" s="40"/>
      <c r="C154" s="15"/>
      <c r="D154" s="15"/>
      <c r="E154" s="14"/>
      <c r="F154" s="14"/>
      <c r="G154" s="14"/>
      <c r="H154" s="14"/>
      <c r="I154" s="15"/>
      <c r="J154" s="15"/>
      <c r="K154" s="15"/>
      <c r="L154" s="16"/>
      <c r="M154" s="58"/>
      <c r="N154" s="52"/>
      <c r="O154" s="52"/>
      <c r="P154" s="52"/>
      <c r="Q154" s="52"/>
      <c r="R154" s="52"/>
      <c r="S154" s="52"/>
      <c r="T154" s="52"/>
      <c r="U154" s="52"/>
      <c r="V154" s="52"/>
      <c r="W154" s="52"/>
    </row>
    <row r="155" spans="1:23" ht="108.6" hidden="1" outlineLevel="2" thickBot="1" x14ac:dyDescent="0.35">
      <c r="A155" s="27" t="s">
        <v>39</v>
      </c>
      <c r="B155" s="28" t="s">
        <v>40</v>
      </c>
      <c r="C155" s="23">
        <v>2020</v>
      </c>
      <c r="D155" s="23">
        <v>0.4</v>
      </c>
      <c r="E155" s="17">
        <f>E156</f>
        <v>0</v>
      </c>
      <c r="F155" s="17">
        <f>F156</f>
        <v>0</v>
      </c>
      <c r="G155" s="17">
        <f>G156</f>
        <v>0</v>
      </c>
      <c r="H155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5" s="23" t="s">
        <v>17</v>
      </c>
      <c r="J155" s="23" t="s">
        <v>17</v>
      </c>
      <c r="K155" s="23" t="s">
        <v>17</v>
      </c>
      <c r="L155" s="24" t="s">
        <v>17</v>
      </c>
      <c r="M155" s="58"/>
      <c r="N155" s="52"/>
      <c r="O155" s="52"/>
      <c r="P155" s="52"/>
      <c r="Q155" s="52"/>
      <c r="R155" s="52"/>
      <c r="S155" s="52"/>
      <c r="T155" s="52"/>
      <c r="U155" s="52"/>
      <c r="V155" s="52"/>
      <c r="W155" s="52"/>
    </row>
    <row r="156" spans="1:23" hidden="1" outlineLevel="2" x14ac:dyDescent="0.3">
      <c r="A156" s="66" t="s">
        <v>39</v>
      </c>
      <c r="B156" s="38"/>
      <c r="C156" s="37"/>
      <c r="D156" s="37"/>
      <c r="E156" s="39"/>
      <c r="F156" s="39"/>
      <c r="G156" s="39"/>
      <c r="H156" s="39"/>
      <c r="I156" s="37"/>
      <c r="J156" s="37"/>
      <c r="K156" s="37"/>
      <c r="L156" s="67"/>
      <c r="M156" s="58"/>
      <c r="N156" s="52"/>
      <c r="O156" s="52"/>
      <c r="P156" s="52"/>
      <c r="Q156" s="52"/>
      <c r="R156" s="52"/>
      <c r="S156" s="52"/>
      <c r="T156" s="52"/>
      <c r="U156" s="52"/>
      <c r="V156" s="52"/>
      <c r="W156" s="52"/>
    </row>
    <row r="157" spans="1:23" ht="90.6" hidden="1" outlineLevel="2" thickBot="1" x14ac:dyDescent="0.35">
      <c r="A157" s="27" t="s">
        <v>41</v>
      </c>
      <c r="B157" s="28" t="s">
        <v>42</v>
      </c>
      <c r="C157" s="23">
        <v>2020</v>
      </c>
      <c r="D157" s="23">
        <v>6</v>
      </c>
      <c r="E157" s="17">
        <f>E158</f>
        <v>0</v>
      </c>
      <c r="F157" s="17">
        <f>F158</f>
        <v>0</v>
      </c>
      <c r="G157" s="17">
        <f>G158</f>
        <v>0</v>
      </c>
      <c r="H157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7" s="23" t="s">
        <v>17</v>
      </c>
      <c r="J157" s="23" t="s">
        <v>17</v>
      </c>
      <c r="K157" s="23" t="s">
        <v>17</v>
      </c>
      <c r="L157" s="24" t="s">
        <v>17</v>
      </c>
      <c r="M157" s="58"/>
      <c r="N157" s="52"/>
      <c r="O157" s="52"/>
      <c r="P157" s="52"/>
      <c r="Q157" s="52"/>
      <c r="R157" s="52"/>
      <c r="S157" s="52"/>
      <c r="T157" s="52"/>
      <c r="U157" s="52"/>
      <c r="V157" s="52"/>
      <c r="W157" s="52"/>
    </row>
    <row r="158" spans="1:23" hidden="1" outlineLevel="2" x14ac:dyDescent="0.3">
      <c r="A158" s="66" t="s">
        <v>41</v>
      </c>
      <c r="B158" s="38"/>
      <c r="C158" s="37"/>
      <c r="D158" s="37"/>
      <c r="E158" s="39"/>
      <c r="F158" s="39"/>
      <c r="G158" s="39"/>
      <c r="H158" s="39"/>
      <c r="I158" s="37"/>
      <c r="J158" s="37"/>
      <c r="K158" s="37"/>
      <c r="L158" s="67"/>
      <c r="M158" s="58"/>
      <c r="N158" s="52"/>
      <c r="O158" s="52"/>
      <c r="P158" s="52"/>
      <c r="Q158" s="52"/>
      <c r="R158" s="52"/>
      <c r="S158" s="52"/>
      <c r="T158" s="52"/>
      <c r="U158" s="52"/>
      <c r="V158" s="52"/>
      <c r="W158" s="52"/>
    </row>
    <row r="159" spans="1:23" ht="90.6" hidden="1" outlineLevel="2" thickBot="1" x14ac:dyDescent="0.35">
      <c r="A159" s="27" t="s">
        <v>43</v>
      </c>
      <c r="B159" s="28" t="s">
        <v>44</v>
      </c>
      <c r="C159" s="23">
        <v>2020</v>
      </c>
      <c r="D159" s="23">
        <v>6</v>
      </c>
      <c r="E159" s="17">
        <f>E160</f>
        <v>0</v>
      </c>
      <c r="F159" s="17">
        <f>F160</f>
        <v>0</v>
      </c>
      <c r="G159" s="17">
        <f>G160</f>
        <v>0</v>
      </c>
      <c r="H159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9" s="23" t="s">
        <v>17</v>
      </c>
      <c r="J159" s="23" t="s">
        <v>17</v>
      </c>
      <c r="K159" s="23" t="s">
        <v>17</v>
      </c>
      <c r="L159" s="24" t="s">
        <v>17</v>
      </c>
      <c r="M159" s="58"/>
      <c r="N159" s="52"/>
      <c r="O159" s="52"/>
      <c r="P159" s="52"/>
      <c r="Q159" s="52"/>
      <c r="R159" s="52"/>
      <c r="S159" s="52"/>
      <c r="T159" s="52"/>
      <c r="U159" s="52"/>
      <c r="V159" s="52"/>
      <c r="W159" s="52"/>
    </row>
    <row r="160" spans="1:23" hidden="1" outlineLevel="2" x14ac:dyDescent="0.3">
      <c r="A160" s="29" t="s">
        <v>43</v>
      </c>
      <c r="B160" s="30"/>
      <c r="C160" s="25"/>
      <c r="D160" s="25"/>
      <c r="E160" s="18"/>
      <c r="F160" s="18"/>
      <c r="G160" s="18"/>
      <c r="H160" s="18"/>
      <c r="I160" s="25"/>
      <c r="J160" s="25"/>
      <c r="K160" s="25"/>
      <c r="L160" s="26"/>
      <c r="M160" s="58"/>
      <c r="N160" s="52"/>
      <c r="O160" s="52"/>
      <c r="P160" s="52"/>
      <c r="Q160" s="52"/>
      <c r="R160" s="52"/>
      <c r="S160" s="52"/>
      <c r="T160" s="52"/>
      <c r="U160" s="52"/>
      <c r="V160" s="52"/>
      <c r="W160" s="52"/>
    </row>
    <row r="161" spans="1:23" ht="90.6" hidden="1" outlineLevel="2" thickBot="1" x14ac:dyDescent="0.35">
      <c r="A161" s="73" t="s">
        <v>60</v>
      </c>
      <c r="B161" s="46" t="s">
        <v>71</v>
      </c>
      <c r="C161" s="23">
        <v>2020</v>
      </c>
      <c r="D161" s="23">
        <v>6</v>
      </c>
      <c r="E161" s="17">
        <f>E162</f>
        <v>0</v>
      </c>
      <c r="F161" s="17">
        <f>F162</f>
        <v>0</v>
      </c>
      <c r="G161" s="17">
        <f>G162</f>
        <v>0</v>
      </c>
      <c r="H161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61" s="23" t="s">
        <v>17</v>
      </c>
      <c r="J161" s="23" t="s">
        <v>17</v>
      </c>
      <c r="K161" s="23" t="s">
        <v>17</v>
      </c>
      <c r="L161" s="24" t="s">
        <v>17</v>
      </c>
      <c r="M161" s="58"/>
      <c r="N161" s="52"/>
      <c r="O161" s="52"/>
      <c r="P161" s="52"/>
      <c r="Q161" s="52"/>
      <c r="R161" s="52"/>
      <c r="S161" s="52"/>
      <c r="T161" s="52"/>
      <c r="U161" s="52"/>
      <c r="V161" s="52"/>
      <c r="W161" s="52"/>
    </row>
    <row r="162" spans="1:23" hidden="1" outlineLevel="2" x14ac:dyDescent="0.3">
      <c r="A162" s="11" t="s">
        <v>60</v>
      </c>
      <c r="B162" s="36"/>
      <c r="C162" s="10"/>
      <c r="D162" s="10"/>
      <c r="E162" s="9"/>
      <c r="F162" s="9"/>
      <c r="G162" s="9"/>
      <c r="H162" s="9"/>
      <c r="I162" s="10"/>
      <c r="J162" s="10"/>
      <c r="K162" s="10"/>
      <c r="L162" s="12"/>
      <c r="M162" s="58"/>
      <c r="N162" s="52"/>
      <c r="O162" s="52"/>
      <c r="P162" s="52"/>
      <c r="Q162" s="52"/>
      <c r="R162" s="52"/>
      <c r="S162" s="52"/>
      <c r="T162" s="52"/>
      <c r="U162" s="52"/>
      <c r="V162" s="52"/>
      <c r="W162" s="52"/>
    </row>
    <row r="163" spans="1:23" ht="117.6" hidden="1" outlineLevel="1" collapsed="1" thickBot="1" x14ac:dyDescent="0.35">
      <c r="A163" s="74" t="s">
        <v>45</v>
      </c>
      <c r="B163" s="75" t="s">
        <v>72</v>
      </c>
      <c r="C163" s="76" t="s">
        <v>17</v>
      </c>
      <c r="D163" s="76" t="s">
        <v>17</v>
      </c>
      <c r="E163" s="77" t="s">
        <v>17</v>
      </c>
      <c r="F163" s="77" t="s">
        <v>17</v>
      </c>
      <c r="G163" s="77" t="s">
        <v>17</v>
      </c>
      <c r="H163" s="77" t="s">
        <v>17</v>
      </c>
      <c r="I163" s="76" t="s">
        <v>17</v>
      </c>
      <c r="J163" s="76" t="s">
        <v>17</v>
      </c>
      <c r="K163" s="76" t="s">
        <v>17</v>
      </c>
      <c r="L163" s="78" t="s">
        <v>17</v>
      </c>
      <c r="M163" s="58"/>
      <c r="N163" s="52"/>
      <c r="O163" s="52"/>
      <c r="P163" s="52"/>
      <c r="Q163" s="52"/>
      <c r="R163" s="52"/>
      <c r="S163" s="52"/>
      <c r="T163" s="52"/>
      <c r="U163" s="52"/>
      <c r="V163" s="52"/>
      <c r="W163" s="52"/>
    </row>
    <row r="164" spans="1:23" ht="54.6" hidden="1" outlineLevel="2" thickBot="1" x14ac:dyDescent="0.35">
      <c r="A164" s="73" t="s">
        <v>46</v>
      </c>
      <c r="B164" s="46" t="s">
        <v>47</v>
      </c>
      <c r="C164" s="45">
        <v>2020</v>
      </c>
      <c r="D164" s="79" t="s">
        <v>73</v>
      </c>
      <c r="E164" s="22" t="s">
        <v>17</v>
      </c>
      <c r="F164" s="22">
        <f>F165</f>
        <v>0</v>
      </c>
      <c r="G164" s="22">
        <f>G165</f>
        <v>0</v>
      </c>
      <c r="H164" s="22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Row],[Максимальная мощность, кВт]]</f>
        <v>#DIV/0!</v>
      </c>
      <c r="I164" s="45" t="s">
        <v>17</v>
      </c>
      <c r="J164" s="45" t="s">
        <v>17</v>
      </c>
      <c r="K164" s="45" t="s">
        <v>17</v>
      </c>
      <c r="L164" s="80" t="s">
        <v>17</v>
      </c>
      <c r="M164" s="58"/>
      <c r="N164" s="52"/>
      <c r="O164" s="52"/>
      <c r="P164" s="52"/>
      <c r="Q164" s="52"/>
      <c r="R164" s="52"/>
      <c r="S164" s="52"/>
      <c r="T164" s="52"/>
      <c r="U164" s="52"/>
      <c r="V164" s="52"/>
      <c r="W164" s="52"/>
    </row>
    <row r="165" spans="1:23" ht="16.2" hidden="1" outlineLevel="2" thickBot="1" x14ac:dyDescent="0.35">
      <c r="A165" s="11" t="s">
        <v>46</v>
      </c>
      <c r="B165" s="36"/>
      <c r="C165" s="10"/>
      <c r="D165" s="19"/>
      <c r="E165" s="9"/>
      <c r="F165" s="9"/>
      <c r="G165" s="9"/>
      <c r="H165" s="9"/>
      <c r="I165" s="10"/>
      <c r="J165" s="10"/>
      <c r="K165" s="10"/>
      <c r="L165" s="12"/>
      <c r="M165" s="58"/>
      <c r="N165" s="52"/>
      <c r="O165" s="52"/>
      <c r="P165" s="52"/>
      <c r="Q165" s="52"/>
      <c r="R165" s="52"/>
      <c r="S165" s="52"/>
      <c r="T165" s="52"/>
      <c r="U165" s="52"/>
      <c r="V165" s="52"/>
      <c r="W165" s="52"/>
    </row>
    <row r="166" spans="1:23" ht="54.6" hidden="1" outlineLevel="2" thickBot="1" x14ac:dyDescent="0.35">
      <c r="A166" s="73" t="s">
        <v>74</v>
      </c>
      <c r="B166" s="46" t="s">
        <v>75</v>
      </c>
      <c r="C166" s="45">
        <v>2020</v>
      </c>
      <c r="D166" s="79" t="s">
        <v>73</v>
      </c>
      <c r="E166" s="22" t="s">
        <v>17</v>
      </c>
      <c r="F166" s="22">
        <f>SUM(F167:F169)</f>
        <v>0</v>
      </c>
      <c r="G166" s="22">
        <f>SUM(G167:G169)</f>
        <v>0</v>
      </c>
      <c r="H166" s="22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Row],[Максимальная мощность, кВт]]</f>
        <v>#DIV/0!</v>
      </c>
      <c r="I166" s="45" t="s">
        <v>17</v>
      </c>
      <c r="J166" s="45" t="s">
        <v>17</v>
      </c>
      <c r="K166" s="45" t="s">
        <v>17</v>
      </c>
      <c r="L166" s="80" t="s">
        <v>17</v>
      </c>
      <c r="M166" s="58"/>
      <c r="N166" s="52"/>
      <c r="O166" s="52"/>
      <c r="P166" s="52"/>
      <c r="Q166" s="52"/>
      <c r="R166" s="52"/>
      <c r="S166" s="52"/>
      <c r="T166" s="52"/>
      <c r="U166" s="52"/>
      <c r="V166" s="52"/>
      <c r="W166" s="52"/>
    </row>
    <row r="167" spans="1:23" ht="16.2" hidden="1" outlineLevel="2" thickBot="1" x14ac:dyDescent="0.35">
      <c r="A167" s="11" t="s">
        <v>74</v>
      </c>
      <c r="B167" s="36"/>
      <c r="C167" s="10"/>
      <c r="D167" s="19"/>
      <c r="E167" s="9"/>
      <c r="F167" s="9"/>
      <c r="G167" s="9"/>
      <c r="H167" s="9"/>
      <c r="I167" s="10"/>
      <c r="J167" s="10"/>
      <c r="K167" s="10"/>
      <c r="L167" s="12"/>
      <c r="M167" s="58"/>
      <c r="N167" s="52"/>
      <c r="O167" s="52"/>
      <c r="P167" s="52"/>
      <c r="Q167" s="52"/>
      <c r="R167" s="52"/>
      <c r="S167" s="52"/>
      <c r="T167" s="52"/>
      <c r="U167" s="52"/>
      <c r="V167" s="52"/>
      <c r="W167" s="52"/>
    </row>
    <row r="168" spans="1:23" ht="16.2" hidden="1" outlineLevel="2" thickBot="1" x14ac:dyDescent="0.35">
      <c r="A168" s="11" t="s">
        <v>74</v>
      </c>
      <c r="B168" s="36"/>
      <c r="C168" s="10"/>
      <c r="D168" s="19"/>
      <c r="E168" s="9"/>
      <c r="F168" s="9"/>
      <c r="G168" s="9"/>
      <c r="H168" s="9"/>
      <c r="I168" s="10"/>
      <c r="J168" s="10"/>
      <c r="K168" s="10"/>
      <c r="L168" s="12"/>
      <c r="M168" s="58"/>
      <c r="N168" s="52"/>
      <c r="O168" s="52"/>
      <c r="P168" s="52"/>
      <c r="Q168" s="52"/>
      <c r="R168" s="52"/>
      <c r="S168" s="52"/>
      <c r="T168" s="52"/>
      <c r="U168" s="52"/>
      <c r="V168" s="52"/>
      <c r="W168" s="52"/>
    </row>
    <row r="169" spans="1:23" ht="16.2" hidden="1" outlineLevel="2" thickBot="1" x14ac:dyDescent="0.35">
      <c r="A169" s="11" t="s">
        <v>74</v>
      </c>
      <c r="B169" s="36"/>
      <c r="C169" s="10"/>
      <c r="D169" s="19"/>
      <c r="E169" s="9"/>
      <c r="F169" s="9"/>
      <c r="G169" s="9"/>
      <c r="H169" s="9"/>
      <c r="I169" s="10"/>
      <c r="J169" s="10"/>
      <c r="K169" s="10"/>
      <c r="L169" s="12"/>
      <c r="M169" s="58"/>
      <c r="N169" s="52"/>
      <c r="O169" s="52"/>
      <c r="P169" s="52"/>
      <c r="Q169" s="52"/>
      <c r="R169" s="52"/>
      <c r="S169" s="52"/>
      <c r="T169" s="52"/>
      <c r="U169" s="52"/>
      <c r="V169" s="52"/>
      <c r="W169" s="52"/>
    </row>
    <row r="170" spans="1:23" ht="54.6" hidden="1" outlineLevel="2" thickBot="1" x14ac:dyDescent="0.35">
      <c r="A170" s="73" t="s">
        <v>76</v>
      </c>
      <c r="B170" s="46" t="s">
        <v>77</v>
      </c>
      <c r="C170" s="45">
        <v>2020</v>
      </c>
      <c r="D170" s="79" t="s">
        <v>73</v>
      </c>
      <c r="E170" s="22" t="s">
        <v>17</v>
      </c>
      <c r="F170" s="22">
        <f>F171</f>
        <v>0</v>
      </c>
      <c r="G170" s="22">
        <f>G171</f>
        <v>0</v>
      </c>
      <c r="H170" s="22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Row],[Максимальная мощность, кВт]]</f>
        <v>#DIV/0!</v>
      </c>
      <c r="I170" s="45" t="s">
        <v>17</v>
      </c>
      <c r="J170" s="45" t="s">
        <v>17</v>
      </c>
      <c r="K170" s="45" t="s">
        <v>17</v>
      </c>
      <c r="L170" s="80" t="s">
        <v>17</v>
      </c>
      <c r="M170" s="58"/>
      <c r="N170" s="52"/>
      <c r="O170" s="52"/>
      <c r="P170" s="52"/>
      <c r="Q170" s="52"/>
      <c r="R170" s="52"/>
      <c r="S170" s="52"/>
      <c r="T170" s="52"/>
      <c r="U170" s="52"/>
      <c r="V170" s="52"/>
      <c r="W170" s="52"/>
    </row>
    <row r="171" spans="1:23" ht="16.2" hidden="1" outlineLevel="2" thickBot="1" x14ac:dyDescent="0.35">
      <c r="A171" s="11" t="s">
        <v>76</v>
      </c>
      <c r="B171" s="36"/>
      <c r="C171" s="10"/>
      <c r="D171" s="19"/>
      <c r="E171" s="9"/>
      <c r="F171" s="9"/>
      <c r="G171" s="9"/>
      <c r="H171" s="9"/>
      <c r="I171" s="10"/>
      <c r="J171" s="10"/>
      <c r="K171" s="10"/>
      <c r="L171" s="12"/>
      <c r="M171" s="58"/>
      <c r="N171" s="52"/>
      <c r="O171" s="52"/>
      <c r="P171" s="52"/>
      <c r="Q171" s="52"/>
      <c r="R171" s="52"/>
      <c r="S171" s="52"/>
      <c r="T171" s="52"/>
      <c r="U171" s="52"/>
      <c r="V171" s="52"/>
      <c r="W171" s="52"/>
    </row>
    <row r="172" spans="1:23" ht="54.6" hidden="1" outlineLevel="2" thickBot="1" x14ac:dyDescent="0.35">
      <c r="A172" s="73" t="s">
        <v>78</v>
      </c>
      <c r="B172" s="46" t="s">
        <v>79</v>
      </c>
      <c r="C172" s="45" t="s">
        <v>58</v>
      </c>
      <c r="D172" s="79" t="s">
        <v>73</v>
      </c>
      <c r="E172" s="22" t="s">
        <v>17</v>
      </c>
      <c r="F172" s="22">
        <f>F173</f>
        <v>0</v>
      </c>
      <c r="G172" s="22">
        <f>G173</f>
        <v>0</v>
      </c>
      <c r="H172" s="22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Row],[Максимальная мощность, кВт]]</f>
        <v>#DIV/0!</v>
      </c>
      <c r="I172" s="45" t="s">
        <v>17</v>
      </c>
      <c r="J172" s="45" t="s">
        <v>17</v>
      </c>
      <c r="K172" s="45" t="s">
        <v>17</v>
      </c>
      <c r="L172" s="80" t="s">
        <v>17</v>
      </c>
      <c r="M172" s="58"/>
      <c r="N172" s="52"/>
      <c r="O172" s="52"/>
      <c r="P172" s="52"/>
      <c r="Q172" s="52"/>
      <c r="R172" s="52"/>
      <c r="S172" s="52"/>
      <c r="T172" s="52"/>
      <c r="U172" s="52"/>
      <c r="V172" s="52"/>
      <c r="W172" s="52"/>
    </row>
    <row r="173" spans="1:23" ht="16.2" hidden="1" outlineLevel="2" thickBot="1" x14ac:dyDescent="0.35">
      <c r="A173" s="13" t="s">
        <v>78</v>
      </c>
      <c r="B173" s="40"/>
      <c r="C173" s="15"/>
      <c r="D173" s="21"/>
      <c r="E173" s="14"/>
      <c r="F173" s="14"/>
      <c r="G173" s="14"/>
      <c r="H173" s="14"/>
      <c r="I173" s="15"/>
      <c r="J173" s="15"/>
      <c r="K173" s="15"/>
      <c r="L173" s="16"/>
      <c r="M173" s="58"/>
      <c r="N173" s="52"/>
      <c r="O173" s="52"/>
      <c r="P173" s="52"/>
      <c r="Q173" s="52"/>
      <c r="R173" s="52"/>
      <c r="S173" s="52"/>
      <c r="T173" s="52"/>
      <c r="U173" s="52"/>
      <c r="V173" s="52"/>
      <c r="W173" s="52"/>
    </row>
    <row r="174" spans="1:23" s="65" customFormat="1" ht="70.8" hidden="1" outlineLevel="1" collapsed="1" thickBot="1" x14ac:dyDescent="0.5">
      <c r="A174" s="68" t="s">
        <v>48</v>
      </c>
      <c r="B174" s="69" t="s">
        <v>49</v>
      </c>
      <c r="C174" s="71" t="s">
        <v>17</v>
      </c>
      <c r="D174" s="71" t="s">
        <v>17</v>
      </c>
      <c r="E174" s="71" t="s">
        <v>17</v>
      </c>
      <c r="F174" s="71" t="s">
        <v>17</v>
      </c>
      <c r="G174" s="71" t="s">
        <v>17</v>
      </c>
      <c r="H174" s="71" t="s">
        <v>17</v>
      </c>
      <c r="I174" s="71" t="s">
        <v>17</v>
      </c>
      <c r="J174" s="71" t="s">
        <v>17</v>
      </c>
      <c r="K174" s="71" t="s">
        <v>17</v>
      </c>
      <c r="L174" s="71" t="s">
        <v>17</v>
      </c>
      <c r="M174" s="58"/>
    </row>
    <row r="175" spans="1:23" ht="54.6" hidden="1" outlineLevel="1" thickBot="1" x14ac:dyDescent="0.35">
      <c r="A175" s="27" t="s">
        <v>80</v>
      </c>
      <c r="B175" s="28" t="s">
        <v>81</v>
      </c>
      <c r="C175" s="23">
        <v>2020</v>
      </c>
      <c r="D175" s="23">
        <f>D176</f>
        <v>0</v>
      </c>
      <c r="E175" s="17" t="s">
        <v>17</v>
      </c>
      <c r="F175" s="17">
        <f>F176</f>
        <v>0</v>
      </c>
      <c r="G175" s="17">
        <f>G176</f>
        <v>0</v>
      </c>
      <c r="H175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Row],[Максимальная мощность, кВт]]</f>
        <v>#DIV/0!</v>
      </c>
      <c r="I175" s="23" t="s">
        <v>17</v>
      </c>
      <c r="J175" s="23" t="s">
        <v>17</v>
      </c>
      <c r="K175" s="23" t="s">
        <v>17</v>
      </c>
      <c r="L175" s="24" t="s">
        <v>17</v>
      </c>
      <c r="M175" s="58"/>
      <c r="N175" s="52"/>
      <c r="O175" s="52"/>
      <c r="P175" s="52"/>
      <c r="Q175" s="52"/>
      <c r="R175" s="52"/>
      <c r="S175" s="52"/>
      <c r="T175" s="52"/>
      <c r="U175" s="52"/>
      <c r="V175" s="52"/>
      <c r="W175" s="52"/>
    </row>
    <row r="176" spans="1:23" ht="16.2" hidden="1" outlineLevel="1" thickBot="1" x14ac:dyDescent="0.35">
      <c r="A176" s="66" t="s">
        <v>80</v>
      </c>
      <c r="B176" s="38"/>
      <c r="C176" s="37"/>
      <c r="D176" s="37"/>
      <c r="E176" s="39"/>
      <c r="F176" s="39"/>
      <c r="G176" s="39"/>
      <c r="H176" s="39"/>
      <c r="I176" s="37"/>
      <c r="J176" s="37"/>
      <c r="K176" s="37"/>
      <c r="L176" s="67"/>
      <c r="M176" s="58"/>
      <c r="N176" s="52"/>
      <c r="O176" s="52"/>
      <c r="P176" s="52"/>
      <c r="Q176" s="52"/>
      <c r="R176" s="52"/>
      <c r="S176" s="52"/>
      <c r="T176" s="52"/>
      <c r="U176" s="52"/>
      <c r="V176" s="52"/>
      <c r="W176" s="52"/>
    </row>
    <row r="177" spans="1:23" s="82" customFormat="1" ht="70.8" hidden="1" outlineLevel="1" collapsed="1" thickBot="1" x14ac:dyDescent="0.5">
      <c r="A177" s="68" t="s">
        <v>50</v>
      </c>
      <c r="B177" s="69" t="s">
        <v>51</v>
      </c>
      <c r="C177" s="71" t="s">
        <v>17</v>
      </c>
      <c r="D177" s="71" t="s">
        <v>17</v>
      </c>
      <c r="E177" s="71" t="s">
        <v>17</v>
      </c>
      <c r="F177" s="71" t="s">
        <v>17</v>
      </c>
      <c r="G177" s="71" t="s">
        <v>17</v>
      </c>
      <c r="H177" s="71" t="s">
        <v>17</v>
      </c>
      <c r="I177" s="71" t="s">
        <v>17</v>
      </c>
      <c r="J177" s="71" t="s">
        <v>17</v>
      </c>
      <c r="K177" s="71" t="s">
        <v>17</v>
      </c>
      <c r="L177" s="71" t="s">
        <v>17</v>
      </c>
      <c r="M177" s="58"/>
      <c r="N177" s="65"/>
      <c r="O177" s="65"/>
      <c r="P177" s="65"/>
      <c r="Q177" s="65"/>
      <c r="R177" s="65"/>
      <c r="S177" s="65"/>
      <c r="T177" s="65"/>
      <c r="U177" s="65"/>
      <c r="V177" s="81"/>
      <c r="W177" s="81"/>
    </row>
    <row r="178" spans="1:23" s="84" customFormat="1" ht="54.6" hidden="1" outlineLevel="1" thickBot="1" x14ac:dyDescent="0.35">
      <c r="A178" s="27" t="s">
        <v>54</v>
      </c>
      <c r="B178" s="28" t="s">
        <v>82</v>
      </c>
      <c r="C178" s="23">
        <v>2020</v>
      </c>
      <c r="D178" s="23">
        <v>0.4</v>
      </c>
      <c r="E178" s="17">
        <f>SUM(E179:E184)</f>
        <v>0</v>
      </c>
      <c r="F178" s="17">
        <f>SUM(F179:F184)</f>
        <v>0</v>
      </c>
      <c r="G178" s="17">
        <f>SUM(G179:G184)</f>
        <v>0</v>
      </c>
      <c r="H178" s="17" t="e">
        <f>Г20203[[#This Row],[Расходы на строительство объекта/на обеспечение средствами коммерческого учета электрической энергии (мощности), тыс. руб.
]]/Г20203[[#This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78" s="23" t="s">
        <v>17</v>
      </c>
      <c r="J178" s="23" t="s">
        <v>17</v>
      </c>
      <c r="K178" s="23" t="s">
        <v>17</v>
      </c>
      <c r="L178" s="24" t="s">
        <v>17</v>
      </c>
      <c r="M178" s="58"/>
      <c r="N178" s="48"/>
      <c r="O178" s="48"/>
      <c r="P178" s="48"/>
      <c r="Q178" s="48"/>
      <c r="R178" s="48"/>
      <c r="S178" s="48"/>
      <c r="T178" s="48"/>
      <c r="U178" s="48"/>
      <c r="V178" s="83"/>
      <c r="W178" s="83"/>
    </row>
    <row r="179" spans="1:23" s="84" customFormat="1" hidden="1" outlineLevel="1" x14ac:dyDescent="0.3">
      <c r="A179" s="29" t="s">
        <v>54</v>
      </c>
      <c r="B179" s="30"/>
      <c r="C179" s="25"/>
      <c r="D179" s="25"/>
      <c r="E179" s="18"/>
      <c r="F179" s="18"/>
      <c r="G179" s="18"/>
      <c r="H179" s="18"/>
      <c r="I179" s="25"/>
      <c r="J179" s="25"/>
      <c r="K179" s="25"/>
      <c r="L179" s="26"/>
      <c r="M179" s="58"/>
      <c r="N179" s="48"/>
      <c r="O179" s="48"/>
      <c r="P179" s="48"/>
      <c r="Q179" s="48"/>
      <c r="R179" s="48"/>
      <c r="S179" s="48"/>
      <c r="T179" s="48"/>
      <c r="U179" s="48"/>
      <c r="V179" s="83"/>
      <c r="W179" s="83"/>
    </row>
    <row r="180" spans="1:23" s="84" customFormat="1" hidden="1" outlineLevel="1" x14ac:dyDescent="0.3">
      <c r="A180" s="11" t="s">
        <v>54</v>
      </c>
      <c r="B180" s="36"/>
      <c r="C180" s="10"/>
      <c r="D180" s="10"/>
      <c r="E180" s="9"/>
      <c r="F180" s="9"/>
      <c r="G180" s="9"/>
      <c r="H180" s="9"/>
      <c r="I180" s="10"/>
      <c r="J180" s="10"/>
      <c r="K180" s="10"/>
      <c r="L180" s="12"/>
      <c r="M180" s="58"/>
      <c r="N180" s="48"/>
      <c r="O180" s="48"/>
      <c r="P180" s="48"/>
      <c r="Q180" s="48"/>
      <c r="R180" s="48"/>
      <c r="S180" s="48"/>
      <c r="T180" s="48"/>
      <c r="U180" s="48"/>
      <c r="V180" s="83"/>
      <c r="W180" s="83"/>
    </row>
    <row r="181" spans="1:23" s="84" customFormat="1" hidden="1" outlineLevel="1" x14ac:dyDescent="0.3">
      <c r="A181" s="11" t="s">
        <v>54</v>
      </c>
      <c r="B181" s="36"/>
      <c r="C181" s="10"/>
      <c r="D181" s="10"/>
      <c r="E181" s="9"/>
      <c r="F181" s="9"/>
      <c r="G181" s="9"/>
      <c r="H181" s="9"/>
      <c r="I181" s="10"/>
      <c r="J181" s="10"/>
      <c r="K181" s="10"/>
      <c r="L181" s="12"/>
      <c r="M181" s="58"/>
      <c r="N181" s="48"/>
      <c r="O181" s="48"/>
      <c r="P181" s="48"/>
      <c r="Q181" s="48"/>
      <c r="R181" s="48"/>
      <c r="S181" s="48"/>
      <c r="T181" s="48"/>
      <c r="U181" s="48"/>
      <c r="V181" s="83"/>
      <c r="W181" s="83"/>
    </row>
    <row r="182" spans="1:23" s="84" customFormat="1" hidden="1" outlineLevel="1" x14ac:dyDescent="0.3">
      <c r="A182" s="11" t="s">
        <v>54</v>
      </c>
      <c r="B182" s="36"/>
      <c r="C182" s="10"/>
      <c r="D182" s="10"/>
      <c r="E182" s="9"/>
      <c r="F182" s="9"/>
      <c r="G182" s="9"/>
      <c r="H182" s="9"/>
      <c r="I182" s="10"/>
      <c r="J182" s="10"/>
      <c r="K182" s="10"/>
      <c r="L182" s="12"/>
      <c r="M182" s="58"/>
      <c r="N182" s="48"/>
      <c r="O182" s="48"/>
      <c r="P182" s="48"/>
      <c r="Q182" s="48"/>
      <c r="R182" s="48"/>
      <c r="S182" s="48"/>
      <c r="T182" s="48"/>
      <c r="U182" s="48"/>
      <c r="V182" s="83"/>
      <c r="W182" s="83"/>
    </row>
    <row r="183" spans="1:23" s="84" customFormat="1" hidden="1" outlineLevel="1" x14ac:dyDescent="0.3">
      <c r="A183" s="11" t="s">
        <v>54</v>
      </c>
      <c r="B183" s="36"/>
      <c r="C183" s="10"/>
      <c r="D183" s="10"/>
      <c r="E183" s="9"/>
      <c r="F183" s="9"/>
      <c r="G183" s="9"/>
      <c r="H183" s="9"/>
      <c r="I183" s="10"/>
      <c r="J183" s="10"/>
      <c r="K183" s="10"/>
      <c r="L183" s="12"/>
      <c r="M183" s="58"/>
      <c r="N183" s="48"/>
      <c r="O183" s="48"/>
      <c r="P183" s="48"/>
      <c r="Q183" s="48"/>
      <c r="R183" s="48"/>
      <c r="S183" s="48"/>
      <c r="T183" s="48"/>
      <c r="U183" s="48"/>
      <c r="V183" s="83"/>
      <c r="W183" s="83"/>
    </row>
    <row r="184" spans="1:23" s="84" customFormat="1" ht="16.2" hidden="1" outlineLevel="1" thickBot="1" x14ac:dyDescent="0.35">
      <c r="A184" s="31" t="s">
        <v>54</v>
      </c>
      <c r="B184" s="32"/>
      <c r="C184" s="33"/>
      <c r="D184" s="33"/>
      <c r="E184" s="34"/>
      <c r="F184" s="34"/>
      <c r="G184" s="34"/>
      <c r="H184" s="34"/>
      <c r="I184" s="33"/>
      <c r="J184" s="33"/>
      <c r="K184" s="33"/>
      <c r="L184" s="35"/>
      <c r="M184" s="58"/>
      <c r="N184" s="48"/>
      <c r="O184" s="48"/>
      <c r="P184" s="48"/>
      <c r="Q184" s="48"/>
      <c r="R184" s="48"/>
      <c r="S184" s="48"/>
      <c r="T184" s="48"/>
      <c r="U184" s="48"/>
      <c r="V184" s="83"/>
      <c r="W184" s="83"/>
    </row>
    <row r="185" spans="1:23" hidden="1" outlineLevel="1" x14ac:dyDescent="0.3"/>
    <row r="186" spans="1:23" collapsed="1" x14ac:dyDescent="0.3"/>
    <row r="188" spans="1:23" s="171" customFormat="1" ht="25.8" x14ac:dyDescent="0.5">
      <c r="A188" s="172"/>
      <c r="B188" s="175" t="s">
        <v>167</v>
      </c>
      <c r="C188" s="175"/>
      <c r="D188" s="176"/>
      <c r="E188" s="176"/>
      <c r="G188" s="176" t="s">
        <v>168</v>
      </c>
      <c r="K188" s="174"/>
      <c r="L188" s="165"/>
      <c r="M188" s="165"/>
    </row>
    <row r="189" spans="1:23" x14ac:dyDescent="0.3">
      <c r="B189" s="41"/>
      <c r="C189" s="1"/>
      <c r="D189" s="1"/>
      <c r="E189" s="1"/>
      <c r="F189" s="1"/>
      <c r="G189" s="1"/>
      <c r="H189" s="1"/>
      <c r="I189" s="1"/>
      <c r="J189" s="1"/>
      <c r="K189" s="48"/>
    </row>
    <row r="190" spans="1:23" x14ac:dyDescent="0.3">
      <c r="B190" s="41"/>
      <c r="C190" s="1"/>
      <c r="D190" s="1"/>
      <c r="E190" s="1"/>
      <c r="F190" s="1"/>
      <c r="G190" s="1"/>
      <c r="H190" s="1"/>
      <c r="I190" s="1"/>
      <c r="J190" s="1"/>
      <c r="K190" s="48"/>
    </row>
    <row r="191" spans="1:23" x14ac:dyDescent="0.3">
      <c r="B191" s="41"/>
      <c r="C191" s="1"/>
      <c r="D191" s="1"/>
      <c r="E191" s="1"/>
      <c r="F191" s="1"/>
      <c r="G191" s="1"/>
      <c r="H191" s="1"/>
      <c r="I191" s="1"/>
      <c r="J191" s="1"/>
      <c r="K191" s="48"/>
    </row>
    <row r="192" spans="1:23" x14ac:dyDescent="0.3">
      <c r="B192" s="41"/>
      <c r="C192" s="1"/>
      <c r="D192" s="1"/>
      <c r="E192" s="1"/>
      <c r="F192" s="1"/>
      <c r="G192" s="1"/>
      <c r="H192" s="1"/>
      <c r="I192" s="1"/>
      <c r="J192" s="1"/>
      <c r="K192" s="48"/>
    </row>
    <row r="193" spans="2:11" ht="21" x14ac:dyDescent="0.3">
      <c r="B193" s="49"/>
      <c r="C193" s="49"/>
      <c r="D193" s="49"/>
      <c r="E193" s="49"/>
      <c r="F193" s="49"/>
      <c r="G193" s="49"/>
      <c r="H193" s="49"/>
      <c r="I193" s="49"/>
      <c r="J193" s="1"/>
      <c r="K193" s="49"/>
    </row>
    <row r="198" spans="2:11" x14ac:dyDescent="0.3">
      <c r="G198" s="259">
        <f>G111+G42</f>
        <v>1476.4426199999998</v>
      </c>
    </row>
  </sheetData>
  <mergeCells count="6">
    <mergeCell ref="A6:L6"/>
    <mergeCell ref="A1:L1"/>
    <mergeCell ref="A2:L2"/>
    <mergeCell ref="A3:H3"/>
    <mergeCell ref="A4:L4"/>
    <mergeCell ref="A5:L5"/>
  </mergeCells>
  <dataValidations count="1">
    <dataValidation type="list" showInputMessage="1" prompt="Выберите диапазон из списка" sqref="K43:K76 K112" xr:uid="{AD50FF50-71A2-41D0-80EF-34875B828AB6}">
      <formula1>Диапазон</formula1>
    </dataValidation>
  </dataValidations>
  <printOptions horizontalCentered="1"/>
  <pageMargins left="0" right="0" top="0.39370078740157483" bottom="0" header="0.31496062992125984" footer="0.31496062992125984"/>
  <pageSetup paperSize="9" scale="38" fitToHeight="0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W222"/>
  <sheetViews>
    <sheetView view="pageBreakPreview" zoomScale="70" zoomScaleNormal="70" zoomScaleSheetLayoutView="70" workbookViewId="0">
      <selection activeCell="A2" sqref="A2:L2"/>
    </sheetView>
  </sheetViews>
  <sheetFormatPr defaultColWidth="9.109375" defaultRowHeight="15.6" outlineLevelRow="2" x14ac:dyDescent="0.3"/>
  <cols>
    <col min="1" max="1" width="14.33203125" style="42" bestFit="1" customWidth="1"/>
    <col min="2" max="2" width="59.33203125" style="42" customWidth="1"/>
    <col min="3" max="3" width="10.44140625" style="42" bestFit="1" customWidth="1"/>
    <col min="4" max="4" width="13.5546875" style="42" bestFit="1" customWidth="1"/>
    <col min="5" max="5" width="16.5546875" style="42" customWidth="1"/>
    <col min="6" max="6" width="23.44140625" style="42" customWidth="1"/>
    <col min="7" max="7" width="18.44140625" style="42" customWidth="1"/>
    <col min="8" max="9" width="17.6640625" style="42" customWidth="1"/>
    <col min="10" max="10" width="25.6640625" style="42" customWidth="1"/>
    <col min="11" max="11" width="26.109375" style="42" customWidth="1"/>
    <col min="12" max="12" width="16.6640625" style="42" customWidth="1"/>
    <col min="13" max="13" width="81.109375" style="84" customWidth="1"/>
    <col min="14" max="14" width="23" style="48" bestFit="1" customWidth="1"/>
    <col min="15" max="15" width="29.33203125" style="48" bestFit="1" customWidth="1"/>
    <col min="16" max="16" width="53.6640625" style="48" customWidth="1"/>
    <col min="17" max="17" width="81.109375" style="48" customWidth="1"/>
    <col min="18" max="18" width="60.109375" style="48" customWidth="1"/>
    <col min="19" max="19" width="23.5546875" style="48" customWidth="1"/>
    <col min="20" max="20" width="79.33203125" style="48" customWidth="1"/>
    <col min="21" max="21" width="80.109375" style="48" customWidth="1"/>
    <col min="22" max="22" width="46.88671875" style="83" customWidth="1"/>
    <col min="23" max="23" width="35.44140625" style="83" customWidth="1"/>
    <col min="24" max="16384" width="9.109375" style="48"/>
  </cols>
  <sheetData>
    <row r="1" spans="1:23" x14ac:dyDescent="0.3">
      <c r="A1" s="424" t="s">
        <v>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8"/>
      <c r="V1" s="48"/>
      <c r="W1" s="48"/>
    </row>
    <row r="2" spans="1:23" ht="104.25" customHeight="1" x14ac:dyDescent="0.3">
      <c r="A2" s="424" t="s">
        <v>814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8"/>
      <c r="V2" s="48"/>
      <c r="W2" s="48"/>
    </row>
    <row r="3" spans="1:23" x14ac:dyDescent="0.3">
      <c r="A3" s="425"/>
      <c r="B3" s="425"/>
      <c r="C3" s="425"/>
      <c r="D3" s="425"/>
      <c r="E3" s="425"/>
      <c r="F3" s="425"/>
      <c r="G3" s="425"/>
      <c r="H3" s="425"/>
      <c r="M3" s="48"/>
      <c r="V3" s="48"/>
      <c r="W3" s="48"/>
    </row>
    <row r="4" spans="1:23" ht="77.25" customHeight="1" x14ac:dyDescent="0.3">
      <c r="A4" s="426" t="s">
        <v>573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50"/>
      <c r="V4" s="48"/>
      <c r="W4" s="48"/>
    </row>
    <row r="5" spans="1:23" ht="26.25" customHeight="1" x14ac:dyDescent="0.3">
      <c r="A5" s="425" t="s">
        <v>1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8"/>
      <c r="V5" s="48"/>
      <c r="W5" s="48"/>
    </row>
    <row r="6" spans="1:23" ht="21.6" thickBot="1" x14ac:dyDescent="0.35">
      <c r="A6" s="423" t="s">
        <v>61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8"/>
      <c r="V6" s="48"/>
      <c r="W6" s="48"/>
    </row>
    <row r="7" spans="1:23" ht="187.8" thickBot="1" x14ac:dyDescent="0.35">
      <c r="A7" s="3" t="s">
        <v>3</v>
      </c>
      <c r="B7" s="4" t="s">
        <v>4</v>
      </c>
      <c r="C7" s="3" t="s">
        <v>5</v>
      </c>
      <c r="D7" s="5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7" t="s">
        <v>14</v>
      </c>
      <c r="M7" s="51" t="s">
        <v>62</v>
      </c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3" s="60" customFormat="1" ht="16.2" thickBot="1" x14ac:dyDescent="0.35">
      <c r="A8" s="53">
        <v>1</v>
      </c>
      <c r="B8" s="54">
        <v>2</v>
      </c>
      <c r="C8" s="53">
        <v>3</v>
      </c>
      <c r="D8" s="55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7">
        <v>12</v>
      </c>
      <c r="M8" s="58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3" s="65" customFormat="1" ht="24" thickBot="1" x14ac:dyDescent="0.5">
      <c r="A9" s="61" t="s">
        <v>15</v>
      </c>
      <c r="B9" s="62" t="s">
        <v>16</v>
      </c>
      <c r="C9" s="63" t="s">
        <v>17</v>
      </c>
      <c r="D9" s="63" t="s">
        <v>17</v>
      </c>
      <c r="E9" s="63" t="s">
        <v>17</v>
      </c>
      <c r="F9" s="63" t="s">
        <v>17</v>
      </c>
      <c r="G9" s="63" t="s">
        <v>17</v>
      </c>
      <c r="H9" s="63" t="s">
        <v>17</v>
      </c>
      <c r="I9" s="63" t="s">
        <v>17</v>
      </c>
      <c r="J9" s="63" t="s">
        <v>17</v>
      </c>
      <c r="K9" s="63" t="s">
        <v>17</v>
      </c>
      <c r="L9" s="64" t="s">
        <v>17</v>
      </c>
      <c r="M9" s="58"/>
    </row>
    <row r="10" spans="1:23" ht="72.599999999999994" thickBot="1" x14ac:dyDescent="0.35">
      <c r="A10" s="27" t="s">
        <v>19</v>
      </c>
      <c r="B10" s="28" t="s">
        <v>18</v>
      </c>
      <c r="C10" s="23">
        <v>2020</v>
      </c>
      <c r="D10" s="23" t="s">
        <v>26</v>
      </c>
      <c r="E10" s="17">
        <f>SUM(E11:E38)</f>
        <v>1200</v>
      </c>
      <c r="F10" s="17">
        <f>SUM(F11:F38)</f>
        <v>267.5</v>
      </c>
      <c r="G10" s="17">
        <f>SUM(G11:G38)</f>
        <v>491.40008999999998</v>
      </c>
      <c r="H10" s="17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0.40950007499999996</v>
      </c>
      <c r="I10" s="23" t="s">
        <v>17</v>
      </c>
      <c r="J10" s="23" t="s">
        <v>17</v>
      </c>
      <c r="K10" s="23" t="s">
        <v>17</v>
      </c>
      <c r="L10" s="24" t="s">
        <v>17</v>
      </c>
      <c r="M10" s="58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t="51.6" customHeight="1" x14ac:dyDescent="0.3">
      <c r="A11" s="29" t="s">
        <v>19</v>
      </c>
      <c r="B11" s="200" t="s">
        <v>169</v>
      </c>
      <c r="C11" s="166">
        <v>2020</v>
      </c>
      <c r="D11" s="166">
        <v>0.4</v>
      </c>
      <c r="E11" s="167">
        <v>150</v>
      </c>
      <c r="F11" s="166">
        <v>15</v>
      </c>
      <c r="G11" s="177">
        <v>46.686860000000003</v>
      </c>
      <c r="H11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0.31124573333333333</v>
      </c>
      <c r="I11" s="178" t="s">
        <v>170</v>
      </c>
      <c r="J11" s="166" t="s">
        <v>171</v>
      </c>
      <c r="K11" s="169" t="s">
        <v>163</v>
      </c>
      <c r="L11" s="170" t="s">
        <v>164</v>
      </c>
      <c r="M11" s="58"/>
      <c r="N11" s="52"/>
      <c r="O11" s="52"/>
      <c r="P11" s="52"/>
      <c r="Q11" s="52"/>
      <c r="R11" s="52"/>
      <c r="S11" s="52"/>
      <c r="T11" s="52"/>
      <c r="U11" s="52"/>
      <c r="V11" s="52"/>
      <c r="W11" s="52"/>
    </row>
    <row r="12" spans="1:23" ht="51.6" customHeight="1" x14ac:dyDescent="0.3">
      <c r="A12" s="11" t="s">
        <v>19</v>
      </c>
      <c r="B12" s="201" t="s">
        <v>172</v>
      </c>
      <c r="C12" s="166">
        <v>2020</v>
      </c>
      <c r="D12" s="166">
        <v>0.4</v>
      </c>
      <c r="E12" s="167">
        <v>50</v>
      </c>
      <c r="F12" s="166">
        <v>50</v>
      </c>
      <c r="G12" s="177">
        <v>28.557950000000002</v>
      </c>
      <c r="H12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0.57115900000000008</v>
      </c>
      <c r="I12" s="178" t="s">
        <v>173</v>
      </c>
      <c r="J12" s="166" t="s">
        <v>174</v>
      </c>
      <c r="K12" s="169" t="s">
        <v>165</v>
      </c>
      <c r="L12" s="170" t="s">
        <v>164</v>
      </c>
      <c r="M12" s="58"/>
      <c r="N12" s="52"/>
      <c r="O12" s="52"/>
      <c r="P12" s="52"/>
      <c r="Q12" s="52"/>
      <c r="R12" s="52"/>
      <c r="S12" s="52"/>
      <c r="T12" s="52"/>
      <c r="U12" s="52"/>
      <c r="V12" s="52"/>
      <c r="W12" s="52"/>
    </row>
    <row r="13" spans="1:23" ht="51.6" customHeight="1" x14ac:dyDescent="0.3">
      <c r="A13" s="11" t="s">
        <v>19</v>
      </c>
      <c r="B13" s="200" t="s">
        <v>175</v>
      </c>
      <c r="C13" s="166">
        <v>2020</v>
      </c>
      <c r="D13" s="166">
        <v>0.4</v>
      </c>
      <c r="E13" s="167">
        <v>160</v>
      </c>
      <c r="F13" s="166">
        <v>50</v>
      </c>
      <c r="G13" s="177">
        <v>49.872230000000002</v>
      </c>
      <c r="H13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0.31170143750000001</v>
      </c>
      <c r="I13" s="178" t="s">
        <v>176</v>
      </c>
      <c r="J13" s="166" t="s">
        <v>177</v>
      </c>
      <c r="K13" s="169" t="s">
        <v>165</v>
      </c>
      <c r="L13" s="170" t="s">
        <v>164</v>
      </c>
      <c r="M13" s="58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t="54" customHeight="1" x14ac:dyDescent="0.3">
      <c r="A14" s="11" t="s">
        <v>19</v>
      </c>
      <c r="B14" s="381" t="s">
        <v>649</v>
      </c>
      <c r="C14" s="166">
        <v>2020</v>
      </c>
      <c r="D14" s="166">
        <v>0.4</v>
      </c>
      <c r="E14" s="167">
        <v>100</v>
      </c>
      <c r="F14" s="166">
        <v>15</v>
      </c>
      <c r="G14" s="390">
        <v>18.167360000000002</v>
      </c>
      <c r="H14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0.18167360000000002</v>
      </c>
      <c r="I14" s="178" t="s">
        <v>654</v>
      </c>
      <c r="J14" s="384" t="s">
        <v>655</v>
      </c>
      <c r="K14" s="169" t="s">
        <v>163</v>
      </c>
      <c r="L14" s="170" t="s">
        <v>164</v>
      </c>
      <c r="M14" s="58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ht="62.4" customHeight="1" x14ac:dyDescent="0.3">
      <c r="A15" s="11" t="s">
        <v>19</v>
      </c>
      <c r="B15" s="381" t="s">
        <v>650</v>
      </c>
      <c r="C15" s="166">
        <v>2020</v>
      </c>
      <c r="D15" s="166">
        <v>0.4</v>
      </c>
      <c r="E15" s="167">
        <v>25</v>
      </c>
      <c r="F15" s="166">
        <v>15</v>
      </c>
      <c r="G15" s="390">
        <v>6.09598</v>
      </c>
      <c r="H15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0.24383920000000001</v>
      </c>
      <c r="I15" s="178" t="s">
        <v>656</v>
      </c>
      <c r="J15" s="384" t="s">
        <v>657</v>
      </c>
      <c r="K15" s="169" t="s">
        <v>163</v>
      </c>
      <c r="L15" s="170" t="s">
        <v>164</v>
      </c>
      <c r="M15" s="58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ht="62.4" customHeight="1" x14ac:dyDescent="0.3">
      <c r="A16" s="11" t="s">
        <v>19</v>
      </c>
      <c r="B16" s="381" t="s">
        <v>651</v>
      </c>
      <c r="C16" s="166">
        <v>2020</v>
      </c>
      <c r="D16" s="166">
        <v>0.4</v>
      </c>
      <c r="E16" s="167">
        <v>75</v>
      </c>
      <c r="F16" s="166">
        <v>15</v>
      </c>
      <c r="G16" s="390">
        <v>12.870089999999999</v>
      </c>
      <c r="H16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0.17160119999999998</v>
      </c>
      <c r="I16" s="178" t="s">
        <v>658</v>
      </c>
      <c r="J16" s="166" t="s">
        <v>659</v>
      </c>
      <c r="K16" s="169" t="s">
        <v>163</v>
      </c>
      <c r="L16" s="170" t="s">
        <v>164</v>
      </c>
      <c r="M16" s="58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1:23" ht="62.4" customHeight="1" x14ac:dyDescent="0.3">
      <c r="A17" s="11" t="s">
        <v>19</v>
      </c>
      <c r="B17" s="382" t="s">
        <v>652</v>
      </c>
      <c r="C17" s="166">
        <v>2020</v>
      </c>
      <c r="D17" s="166">
        <v>0.4</v>
      </c>
      <c r="E17" s="167">
        <v>90</v>
      </c>
      <c r="F17" s="166">
        <v>10</v>
      </c>
      <c r="G17" s="390">
        <v>18.43657</v>
      </c>
      <c r="H17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0.20485077777777777</v>
      </c>
      <c r="I17" s="178" t="s">
        <v>660</v>
      </c>
      <c r="J17" s="166" t="s">
        <v>661</v>
      </c>
      <c r="K17" s="169" t="s">
        <v>163</v>
      </c>
      <c r="L17" s="170" t="s">
        <v>164</v>
      </c>
      <c r="M17" s="58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3" ht="62.4" customHeight="1" x14ac:dyDescent="0.3">
      <c r="A18" s="11" t="s">
        <v>19</v>
      </c>
      <c r="B18" s="383" t="s">
        <v>653</v>
      </c>
      <c r="C18" s="166">
        <v>2020</v>
      </c>
      <c r="D18" s="166">
        <v>0.4</v>
      </c>
      <c r="E18" s="167">
        <v>80</v>
      </c>
      <c r="F18" s="166">
        <v>15</v>
      </c>
      <c r="G18" s="390">
        <v>20.883369999999999</v>
      </c>
      <c r="H18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0.26104212500000001</v>
      </c>
      <c r="I18" s="178" t="s">
        <v>662</v>
      </c>
      <c r="J18" s="166" t="s">
        <v>663</v>
      </c>
      <c r="K18" s="169" t="s">
        <v>163</v>
      </c>
      <c r="L18" s="170" t="s">
        <v>164</v>
      </c>
      <c r="M18" s="58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3" ht="60.6" customHeight="1" x14ac:dyDescent="0.3">
      <c r="A19" s="11" t="s">
        <v>19</v>
      </c>
      <c r="B19" s="381" t="s">
        <v>664</v>
      </c>
      <c r="C19" s="166">
        <v>2020</v>
      </c>
      <c r="D19" s="166">
        <v>0.4</v>
      </c>
      <c r="E19" s="167">
        <v>35</v>
      </c>
      <c r="F19" s="166">
        <v>10</v>
      </c>
      <c r="G19" s="390">
        <v>16.999549999999999</v>
      </c>
      <c r="H19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0.48570142857142856</v>
      </c>
      <c r="I19" s="178" t="s">
        <v>670</v>
      </c>
      <c r="J19" s="384" t="s">
        <v>671</v>
      </c>
      <c r="K19" s="169" t="s">
        <v>163</v>
      </c>
      <c r="L19" s="170" t="s">
        <v>164</v>
      </c>
      <c r="M19" s="58"/>
      <c r="N19" s="52"/>
      <c r="O19" s="52"/>
      <c r="P19" s="52"/>
      <c r="Q19" s="52"/>
      <c r="R19" s="52"/>
      <c r="S19" s="52"/>
      <c r="T19" s="52"/>
      <c r="U19" s="52"/>
      <c r="V19" s="52"/>
      <c r="W19" s="52"/>
    </row>
    <row r="20" spans="1:23" ht="60.6" customHeight="1" x14ac:dyDescent="0.3">
      <c r="A20" s="11" t="s">
        <v>19</v>
      </c>
      <c r="B20" s="381" t="s">
        <v>665</v>
      </c>
      <c r="C20" s="166">
        <v>2020</v>
      </c>
      <c r="D20" s="166">
        <v>0.4</v>
      </c>
      <c r="E20" s="167">
        <v>200</v>
      </c>
      <c r="F20" s="166">
        <v>15</v>
      </c>
      <c r="G20" s="390">
        <v>47.066099999999999</v>
      </c>
      <c r="H20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0.2353305</v>
      </c>
      <c r="I20" s="178" t="s">
        <v>672</v>
      </c>
      <c r="J20" s="384" t="s">
        <v>617</v>
      </c>
      <c r="K20" s="169" t="s">
        <v>163</v>
      </c>
      <c r="L20" s="170" t="s">
        <v>164</v>
      </c>
      <c r="M20" s="58"/>
      <c r="N20" s="52"/>
      <c r="O20" s="52"/>
      <c r="P20" s="52"/>
      <c r="Q20" s="52"/>
      <c r="R20" s="52"/>
      <c r="S20" s="52"/>
      <c r="T20" s="52"/>
      <c r="U20" s="52"/>
      <c r="V20" s="52"/>
      <c r="W20" s="52"/>
    </row>
    <row r="21" spans="1:23" ht="60.6" customHeight="1" x14ac:dyDescent="0.3">
      <c r="A21" s="11" t="s">
        <v>19</v>
      </c>
      <c r="B21" s="381" t="s">
        <v>666</v>
      </c>
      <c r="C21" s="166">
        <v>2020</v>
      </c>
      <c r="D21" s="166">
        <v>0.4</v>
      </c>
      <c r="E21" s="167">
        <v>30</v>
      </c>
      <c r="F21" s="166">
        <v>12.5</v>
      </c>
      <c r="G21" s="390">
        <v>16.300459999999998</v>
      </c>
      <c r="H21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0.54334866666666659</v>
      </c>
      <c r="I21" s="178" t="s">
        <v>673</v>
      </c>
      <c r="J21" s="166" t="s">
        <v>674</v>
      </c>
      <c r="K21" s="169" t="s">
        <v>163</v>
      </c>
      <c r="L21" s="170" t="s">
        <v>164</v>
      </c>
      <c r="M21" s="58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 spans="1:23" ht="60.6" customHeight="1" x14ac:dyDescent="0.3">
      <c r="A22" s="11" t="s">
        <v>19</v>
      </c>
      <c r="B22" s="382" t="s">
        <v>667</v>
      </c>
      <c r="C22" s="166">
        <v>2020</v>
      </c>
      <c r="D22" s="166">
        <v>0.4</v>
      </c>
      <c r="E22" s="167">
        <v>30</v>
      </c>
      <c r="F22" s="166">
        <v>15</v>
      </c>
      <c r="G22" s="177">
        <v>19.674709999999997</v>
      </c>
      <c r="H22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0.65582366666666658</v>
      </c>
      <c r="I22" s="178" t="s">
        <v>675</v>
      </c>
      <c r="J22" s="166" t="s">
        <v>676</v>
      </c>
      <c r="K22" s="169" t="s">
        <v>163</v>
      </c>
      <c r="L22" s="170" t="s">
        <v>164</v>
      </c>
      <c r="M22" s="58"/>
      <c r="N22" s="52"/>
      <c r="O22" s="52"/>
      <c r="P22" s="52"/>
      <c r="Q22" s="52"/>
      <c r="R22" s="52"/>
      <c r="S22" s="52"/>
      <c r="T22" s="52"/>
      <c r="U22" s="52"/>
      <c r="V22" s="52"/>
      <c r="W22" s="52"/>
    </row>
    <row r="23" spans="1:23" ht="60.6" customHeight="1" x14ac:dyDescent="0.3">
      <c r="A23" s="11" t="s">
        <v>19</v>
      </c>
      <c r="B23" s="383" t="s">
        <v>668</v>
      </c>
      <c r="C23" s="166">
        <v>2020</v>
      </c>
      <c r="D23" s="166">
        <v>0.4</v>
      </c>
      <c r="E23" s="167">
        <v>75</v>
      </c>
      <c r="F23" s="166">
        <v>15</v>
      </c>
      <c r="G23" s="177">
        <v>44.571529999999996</v>
      </c>
      <c r="H23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0.59428706666666664</v>
      </c>
      <c r="I23" s="178" t="s">
        <v>677</v>
      </c>
      <c r="J23" s="166" t="s">
        <v>678</v>
      </c>
      <c r="K23" s="169" t="s">
        <v>163</v>
      </c>
      <c r="L23" s="170" t="s">
        <v>164</v>
      </c>
      <c r="M23" s="58"/>
      <c r="N23" s="52"/>
      <c r="O23" s="52"/>
      <c r="P23" s="52"/>
      <c r="Q23" s="52"/>
      <c r="R23" s="52"/>
      <c r="S23" s="52"/>
      <c r="T23" s="52"/>
      <c r="U23" s="52"/>
      <c r="V23" s="52"/>
      <c r="W23" s="52"/>
    </row>
    <row r="24" spans="1:23" ht="60.6" customHeight="1" thickBot="1" x14ac:dyDescent="0.35">
      <c r="A24" s="11" t="s">
        <v>19</v>
      </c>
      <c r="B24" s="383" t="s">
        <v>669</v>
      </c>
      <c r="C24" s="166">
        <v>2020</v>
      </c>
      <c r="D24" s="166">
        <v>0.4</v>
      </c>
      <c r="E24" s="167">
        <v>100</v>
      </c>
      <c r="F24" s="166">
        <v>15</v>
      </c>
      <c r="G24" s="177">
        <v>145.21732999999998</v>
      </c>
      <c r="H24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1.4521732999999997</v>
      </c>
      <c r="I24" s="178" t="s">
        <v>679</v>
      </c>
      <c r="J24" s="166" t="s">
        <v>680</v>
      </c>
      <c r="K24" s="169" t="s">
        <v>163</v>
      </c>
      <c r="L24" s="170" t="s">
        <v>164</v>
      </c>
      <c r="M24" s="58"/>
      <c r="N24" s="52"/>
      <c r="O24" s="52"/>
      <c r="P24" s="52"/>
      <c r="Q24" s="52"/>
      <c r="R24" s="52"/>
      <c r="S24" s="52"/>
      <c r="T24" s="52"/>
      <c r="U24" s="52"/>
      <c r="V24" s="52"/>
      <c r="W24" s="52"/>
    </row>
    <row r="25" spans="1:23" hidden="1" outlineLevel="1" x14ac:dyDescent="0.3">
      <c r="A25" s="11" t="s">
        <v>19</v>
      </c>
      <c r="B25" s="36"/>
      <c r="C25" s="10"/>
      <c r="D25" s="10"/>
      <c r="E25" s="9"/>
      <c r="F25" s="9"/>
      <c r="G25" s="9"/>
      <c r="H25" s="9"/>
      <c r="I25" s="10"/>
      <c r="J25" s="10"/>
      <c r="K25" s="10"/>
      <c r="L25" s="12"/>
      <c r="M25" s="58"/>
      <c r="N25" s="52"/>
      <c r="O25" s="52"/>
      <c r="P25" s="52"/>
      <c r="Q25" s="52"/>
      <c r="R25" s="52"/>
      <c r="S25" s="52"/>
      <c r="T25" s="52"/>
      <c r="U25" s="52"/>
      <c r="V25" s="52"/>
      <c r="W25" s="52"/>
    </row>
    <row r="26" spans="1:23" hidden="1" outlineLevel="1" x14ac:dyDescent="0.3">
      <c r="A26" s="11" t="s">
        <v>19</v>
      </c>
      <c r="B26" s="36"/>
      <c r="C26" s="10"/>
      <c r="D26" s="10"/>
      <c r="E26" s="9"/>
      <c r="F26" s="9"/>
      <c r="G26" s="9"/>
      <c r="H26" s="9"/>
      <c r="I26" s="10"/>
      <c r="J26" s="10"/>
      <c r="K26" s="10"/>
      <c r="L26" s="12"/>
      <c r="M26" s="58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3" hidden="1" outlineLevel="1" x14ac:dyDescent="0.3">
      <c r="A27" s="11" t="s">
        <v>19</v>
      </c>
      <c r="B27" s="36"/>
      <c r="C27" s="10"/>
      <c r="D27" s="10"/>
      <c r="E27" s="9"/>
      <c r="F27" s="9"/>
      <c r="G27" s="9"/>
      <c r="H27" s="9"/>
      <c r="I27" s="10"/>
      <c r="J27" s="10"/>
      <c r="K27" s="10"/>
      <c r="L27" s="12"/>
      <c r="M27" s="58"/>
      <c r="N27" s="52"/>
      <c r="O27" s="52"/>
      <c r="P27" s="52"/>
      <c r="Q27" s="52"/>
      <c r="R27" s="52"/>
      <c r="S27" s="52"/>
      <c r="T27" s="52"/>
      <c r="U27" s="52"/>
      <c r="V27" s="52"/>
      <c r="W27" s="52"/>
    </row>
    <row r="28" spans="1:23" hidden="1" outlineLevel="1" x14ac:dyDescent="0.3">
      <c r="A28" s="11" t="s">
        <v>19</v>
      </c>
      <c r="B28" s="36"/>
      <c r="C28" s="10"/>
      <c r="D28" s="10"/>
      <c r="E28" s="9"/>
      <c r="F28" s="9"/>
      <c r="G28" s="9"/>
      <c r="H28" s="9"/>
      <c r="I28" s="10"/>
      <c r="J28" s="10"/>
      <c r="K28" s="10"/>
      <c r="L28" s="12"/>
      <c r="M28" s="58"/>
      <c r="N28" s="52"/>
      <c r="O28" s="52"/>
      <c r="P28" s="52"/>
      <c r="Q28" s="52"/>
      <c r="R28" s="52"/>
      <c r="S28" s="52"/>
      <c r="T28" s="52"/>
      <c r="U28" s="52"/>
      <c r="V28" s="52"/>
      <c r="W28" s="52"/>
    </row>
    <row r="29" spans="1:23" hidden="1" outlineLevel="1" x14ac:dyDescent="0.3">
      <c r="A29" s="11" t="s">
        <v>19</v>
      </c>
      <c r="B29" s="36"/>
      <c r="C29" s="10"/>
      <c r="D29" s="10"/>
      <c r="E29" s="9"/>
      <c r="F29" s="9"/>
      <c r="G29" s="9"/>
      <c r="H29" s="9"/>
      <c r="I29" s="10"/>
      <c r="J29" s="10"/>
      <c r="K29" s="10"/>
      <c r="L29" s="12"/>
      <c r="M29" s="58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1:23" hidden="1" outlineLevel="1" x14ac:dyDescent="0.3">
      <c r="A30" s="11" t="s">
        <v>19</v>
      </c>
      <c r="B30" s="36"/>
      <c r="C30" s="10"/>
      <c r="D30" s="10"/>
      <c r="E30" s="9"/>
      <c r="F30" s="9"/>
      <c r="G30" s="9"/>
      <c r="H30" s="9"/>
      <c r="I30" s="10"/>
      <c r="J30" s="10"/>
      <c r="K30" s="10"/>
      <c r="L30" s="12"/>
      <c r="M30" s="58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3" hidden="1" outlineLevel="1" x14ac:dyDescent="0.3">
      <c r="A31" s="11" t="s">
        <v>19</v>
      </c>
      <c r="B31" s="36"/>
      <c r="C31" s="10"/>
      <c r="D31" s="10"/>
      <c r="E31" s="9"/>
      <c r="F31" s="9"/>
      <c r="G31" s="9"/>
      <c r="H31" s="9"/>
      <c r="I31" s="10"/>
      <c r="J31" s="10"/>
      <c r="K31" s="10"/>
      <c r="L31" s="12"/>
      <c r="M31" s="58"/>
      <c r="N31" s="52"/>
      <c r="O31" s="52"/>
      <c r="P31" s="52"/>
      <c r="Q31" s="52"/>
      <c r="R31" s="52"/>
      <c r="S31" s="52"/>
      <c r="T31" s="52"/>
      <c r="U31" s="52"/>
      <c r="V31" s="52"/>
      <c r="W31" s="52"/>
    </row>
    <row r="32" spans="1:23" hidden="1" outlineLevel="1" x14ac:dyDescent="0.3">
      <c r="A32" s="11" t="s">
        <v>19</v>
      </c>
      <c r="B32" s="36"/>
      <c r="C32" s="10"/>
      <c r="D32" s="10"/>
      <c r="E32" s="9"/>
      <c r="F32" s="9"/>
      <c r="G32" s="9"/>
      <c r="H32" s="9"/>
      <c r="I32" s="10"/>
      <c r="J32" s="10"/>
      <c r="K32" s="10"/>
      <c r="L32" s="12"/>
      <c r="M32" s="58"/>
      <c r="N32" s="52"/>
      <c r="O32" s="52"/>
      <c r="P32" s="52"/>
      <c r="Q32" s="52"/>
      <c r="R32" s="52"/>
      <c r="S32" s="52"/>
      <c r="T32" s="52"/>
      <c r="U32" s="52"/>
      <c r="V32" s="52"/>
      <c r="W32" s="52"/>
    </row>
    <row r="33" spans="1:23" hidden="1" outlineLevel="1" x14ac:dyDescent="0.3">
      <c r="A33" s="11" t="s">
        <v>19</v>
      </c>
      <c r="B33" s="36"/>
      <c r="C33" s="10"/>
      <c r="D33" s="10"/>
      <c r="E33" s="9"/>
      <c r="F33" s="9"/>
      <c r="G33" s="9"/>
      <c r="H33" s="9"/>
      <c r="I33" s="10"/>
      <c r="J33" s="10"/>
      <c r="K33" s="10"/>
      <c r="L33" s="12"/>
      <c r="M33" s="58"/>
      <c r="N33" s="52"/>
      <c r="O33" s="52"/>
      <c r="P33" s="52"/>
      <c r="Q33" s="52"/>
      <c r="R33" s="52"/>
      <c r="S33" s="52"/>
      <c r="T33" s="52"/>
      <c r="U33" s="52"/>
      <c r="V33" s="52"/>
      <c r="W33" s="52"/>
    </row>
    <row r="34" spans="1:23" hidden="1" outlineLevel="1" x14ac:dyDescent="0.3">
      <c r="A34" s="11" t="s">
        <v>19</v>
      </c>
      <c r="B34" s="36"/>
      <c r="C34" s="10"/>
      <c r="D34" s="10"/>
      <c r="E34" s="9"/>
      <c r="F34" s="9"/>
      <c r="G34" s="9"/>
      <c r="H34" s="9"/>
      <c r="I34" s="10"/>
      <c r="J34" s="10"/>
      <c r="K34" s="10"/>
      <c r="L34" s="12"/>
      <c r="M34" s="58"/>
      <c r="N34" s="52"/>
      <c r="O34" s="52"/>
      <c r="P34" s="52"/>
      <c r="Q34" s="52"/>
      <c r="R34" s="52"/>
      <c r="S34" s="52"/>
      <c r="T34" s="52"/>
      <c r="U34" s="52"/>
      <c r="V34" s="52"/>
      <c r="W34" s="52"/>
    </row>
    <row r="35" spans="1:23" hidden="1" outlineLevel="1" x14ac:dyDescent="0.3">
      <c r="A35" s="11" t="s">
        <v>19</v>
      </c>
      <c r="B35" s="36"/>
      <c r="C35" s="10"/>
      <c r="D35" s="10"/>
      <c r="E35" s="9"/>
      <c r="F35" s="9"/>
      <c r="G35" s="9"/>
      <c r="H35" s="9"/>
      <c r="I35" s="10"/>
      <c r="J35" s="10"/>
      <c r="K35" s="10"/>
      <c r="L35" s="12"/>
      <c r="M35" s="58"/>
      <c r="N35" s="52"/>
      <c r="O35" s="52"/>
      <c r="P35" s="52"/>
      <c r="Q35" s="52"/>
      <c r="R35" s="52"/>
      <c r="S35" s="52"/>
      <c r="T35" s="52"/>
      <c r="U35" s="52"/>
      <c r="V35" s="52"/>
      <c r="W35" s="52"/>
    </row>
    <row r="36" spans="1:23" hidden="1" outlineLevel="1" x14ac:dyDescent="0.3">
      <c r="A36" s="11" t="s">
        <v>19</v>
      </c>
      <c r="B36" s="36"/>
      <c r="C36" s="10"/>
      <c r="D36" s="10"/>
      <c r="E36" s="9"/>
      <c r="F36" s="9"/>
      <c r="G36" s="9"/>
      <c r="H36" s="9"/>
      <c r="I36" s="10"/>
      <c r="J36" s="10"/>
      <c r="K36" s="10"/>
      <c r="L36" s="12"/>
      <c r="M36" s="58"/>
      <c r="N36" s="52"/>
      <c r="O36" s="52"/>
      <c r="P36" s="52"/>
      <c r="Q36" s="52"/>
      <c r="R36" s="52"/>
      <c r="S36" s="52"/>
      <c r="T36" s="52"/>
      <c r="U36" s="52"/>
      <c r="V36" s="52"/>
      <c r="W36" s="52"/>
    </row>
    <row r="37" spans="1:23" hidden="1" outlineLevel="1" x14ac:dyDescent="0.3">
      <c r="A37" s="11" t="s">
        <v>19</v>
      </c>
      <c r="B37" s="36"/>
      <c r="C37" s="10"/>
      <c r="D37" s="10"/>
      <c r="E37" s="9"/>
      <c r="F37" s="9"/>
      <c r="G37" s="9"/>
      <c r="H37" s="9"/>
      <c r="I37" s="10"/>
      <c r="J37" s="10"/>
      <c r="K37" s="10"/>
      <c r="L37" s="12"/>
      <c r="M37" s="58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ht="16.2" hidden="1" outlineLevel="1" thickBot="1" x14ac:dyDescent="0.35">
      <c r="A38" s="13" t="s">
        <v>19</v>
      </c>
      <c r="B38" s="40"/>
      <c r="C38" s="15"/>
      <c r="D38" s="15"/>
      <c r="E38" s="14"/>
      <c r="F38" s="14"/>
      <c r="G38" s="14"/>
      <c r="H38" s="14"/>
      <c r="I38" s="15"/>
      <c r="J38" s="15"/>
      <c r="K38" s="15"/>
      <c r="L38" s="16"/>
      <c r="M38" s="58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ht="72.599999999999994" collapsed="1" thickBot="1" x14ac:dyDescent="0.35">
      <c r="A39" s="27" t="s">
        <v>21</v>
      </c>
      <c r="B39" s="28" t="s">
        <v>20</v>
      </c>
      <c r="C39" s="23">
        <v>2020</v>
      </c>
      <c r="D39" s="23"/>
      <c r="E39" s="17">
        <f>E40+E41+E42+E43+E44+E45+E46</f>
        <v>1875</v>
      </c>
      <c r="F39" s="17">
        <f t="shared" ref="F39" si="0">F40+F41+F42+F43+F44+F45+F46</f>
        <v>459</v>
      </c>
      <c r="G39" s="17">
        <f>G40+G41+G42+G43+G44+G45+G46</f>
        <v>2025.1225199999999</v>
      </c>
      <c r="H39" s="17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1.0800653439999999</v>
      </c>
      <c r="I39" s="23" t="s">
        <v>17</v>
      </c>
      <c r="J39" s="23" t="s">
        <v>17</v>
      </c>
      <c r="K39" s="23" t="s">
        <v>17</v>
      </c>
      <c r="L39" s="24" t="s">
        <v>17</v>
      </c>
      <c r="M39" s="58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t="41.4" x14ac:dyDescent="0.3">
      <c r="A40" s="11" t="s">
        <v>21</v>
      </c>
      <c r="B40" s="179" t="s">
        <v>681</v>
      </c>
      <c r="C40" s="180">
        <v>2020</v>
      </c>
      <c r="D40" s="181">
        <v>0.4</v>
      </c>
      <c r="E40" s="181">
        <v>260</v>
      </c>
      <c r="F40" s="182">
        <v>150</v>
      </c>
      <c r="G40" s="183">
        <v>130.03996000000001</v>
      </c>
      <c r="H40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0.50015369230769235</v>
      </c>
      <c r="I40" s="178" t="s">
        <v>682</v>
      </c>
      <c r="J40" s="181" t="s">
        <v>683</v>
      </c>
      <c r="K40" s="178" t="s">
        <v>165</v>
      </c>
      <c r="L40" s="184" t="s">
        <v>164</v>
      </c>
      <c r="M40" s="58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s="273" customFormat="1" ht="41.4" x14ac:dyDescent="0.3">
      <c r="A41" s="311" t="s">
        <v>21</v>
      </c>
      <c r="B41" s="386" t="s">
        <v>178</v>
      </c>
      <c r="C41" s="387">
        <v>2020</v>
      </c>
      <c r="D41" s="387">
        <v>0.4</v>
      </c>
      <c r="E41" s="388">
        <v>50</v>
      </c>
      <c r="F41" s="389">
        <v>15</v>
      </c>
      <c r="G41" s="390">
        <v>25.755939999999999</v>
      </c>
      <c r="H41" s="336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0.51511879999999999</v>
      </c>
      <c r="I41" s="208" t="s">
        <v>179</v>
      </c>
      <c r="J41" s="388" t="s">
        <v>180</v>
      </c>
      <c r="K41" s="208" t="s">
        <v>181</v>
      </c>
      <c r="L41" s="210" t="s">
        <v>164</v>
      </c>
      <c r="M41" s="271"/>
      <c r="N41" s="272"/>
      <c r="O41" s="272"/>
      <c r="P41" s="272"/>
      <c r="Q41" s="272"/>
      <c r="R41" s="272"/>
      <c r="S41" s="272"/>
      <c r="T41" s="272"/>
      <c r="U41" s="272"/>
      <c r="V41" s="272"/>
      <c r="W41" s="272"/>
    </row>
    <row r="42" spans="1:23" s="273" customFormat="1" ht="41.4" x14ac:dyDescent="0.3">
      <c r="A42" s="311" t="s">
        <v>21</v>
      </c>
      <c r="B42" s="386" t="s">
        <v>684</v>
      </c>
      <c r="C42" s="387">
        <v>2020</v>
      </c>
      <c r="D42" s="387">
        <v>0.4</v>
      </c>
      <c r="E42" s="388">
        <v>90</v>
      </c>
      <c r="F42" s="389">
        <v>15</v>
      </c>
      <c r="G42" s="390">
        <v>52.513100000000001</v>
      </c>
      <c r="H42" s="336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0.58347888888888888</v>
      </c>
      <c r="I42" s="208" t="s">
        <v>688</v>
      </c>
      <c r="J42" s="388" t="s">
        <v>689</v>
      </c>
      <c r="K42" s="208" t="s">
        <v>163</v>
      </c>
      <c r="L42" s="210" t="s">
        <v>164</v>
      </c>
      <c r="M42" s="271"/>
      <c r="N42" s="272"/>
      <c r="O42" s="272"/>
      <c r="P42" s="272"/>
      <c r="Q42" s="272"/>
      <c r="R42" s="272"/>
      <c r="S42" s="272"/>
      <c r="T42" s="272"/>
      <c r="U42" s="272"/>
      <c r="V42" s="272"/>
      <c r="W42" s="272"/>
    </row>
    <row r="43" spans="1:23" s="273" customFormat="1" ht="41.4" x14ac:dyDescent="0.3">
      <c r="A43" s="311" t="s">
        <v>21</v>
      </c>
      <c r="B43" s="386" t="s">
        <v>685</v>
      </c>
      <c r="C43" s="387">
        <v>2020</v>
      </c>
      <c r="D43" s="387">
        <v>0.4</v>
      </c>
      <c r="E43" s="388">
        <v>35</v>
      </c>
      <c r="F43" s="389">
        <v>34</v>
      </c>
      <c r="G43" s="390">
        <v>24.567700000000002</v>
      </c>
      <c r="H43" s="336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0.70193428571428573</v>
      </c>
      <c r="I43" s="208" t="s">
        <v>690</v>
      </c>
      <c r="J43" s="388" t="s">
        <v>691</v>
      </c>
      <c r="K43" s="208" t="s">
        <v>165</v>
      </c>
      <c r="L43" s="210" t="s">
        <v>164</v>
      </c>
      <c r="M43" s="271"/>
      <c r="N43" s="272"/>
      <c r="O43" s="272"/>
      <c r="P43" s="272"/>
      <c r="Q43" s="272"/>
      <c r="R43" s="272"/>
      <c r="S43" s="272"/>
      <c r="T43" s="272"/>
      <c r="U43" s="272"/>
      <c r="V43" s="272"/>
      <c r="W43" s="272"/>
    </row>
    <row r="44" spans="1:23" s="273" customFormat="1" ht="41.4" x14ac:dyDescent="0.3">
      <c r="A44" s="311" t="s">
        <v>21</v>
      </c>
      <c r="B44" s="386" t="s">
        <v>686</v>
      </c>
      <c r="C44" s="387">
        <v>2020</v>
      </c>
      <c r="D44" s="387">
        <v>0.4</v>
      </c>
      <c r="E44" s="388">
        <v>170</v>
      </c>
      <c r="F44" s="389">
        <v>80</v>
      </c>
      <c r="G44" s="390">
        <v>61.071390000000001</v>
      </c>
      <c r="H44" s="336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0.3592434705882353</v>
      </c>
      <c r="I44" s="208" t="s">
        <v>692</v>
      </c>
      <c r="J44" s="388" t="s">
        <v>655</v>
      </c>
      <c r="K44" s="208" t="s">
        <v>165</v>
      </c>
      <c r="L44" s="210" t="s">
        <v>164</v>
      </c>
      <c r="M44" s="271"/>
      <c r="N44" s="272"/>
      <c r="O44" s="272"/>
      <c r="P44" s="272"/>
      <c r="Q44" s="272"/>
      <c r="R44" s="272"/>
      <c r="S44" s="272"/>
      <c r="T44" s="272"/>
      <c r="U44" s="272"/>
      <c r="V44" s="272"/>
      <c r="W44" s="272"/>
    </row>
    <row r="45" spans="1:23" s="273" customFormat="1" ht="41.4" x14ac:dyDescent="0.3">
      <c r="A45" s="311" t="s">
        <v>21</v>
      </c>
      <c r="B45" s="386" t="s">
        <v>687</v>
      </c>
      <c r="C45" s="387">
        <v>2020</v>
      </c>
      <c r="D45" s="387">
        <v>0.4</v>
      </c>
      <c r="E45" s="388">
        <v>270</v>
      </c>
      <c r="F45" s="389">
        <v>150</v>
      </c>
      <c r="G45" s="390">
        <v>200.14171999999999</v>
      </c>
      <c r="H45" s="336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0.74126562962962961</v>
      </c>
      <c r="I45" s="208" t="s">
        <v>693</v>
      </c>
      <c r="J45" s="388" t="s">
        <v>694</v>
      </c>
      <c r="K45" s="208" t="s">
        <v>165</v>
      </c>
      <c r="L45" s="210" t="s">
        <v>164</v>
      </c>
      <c r="M45" s="271"/>
      <c r="N45" s="272"/>
      <c r="O45" s="272"/>
      <c r="P45" s="272"/>
      <c r="Q45" s="272"/>
      <c r="R45" s="272"/>
      <c r="S45" s="272"/>
      <c r="T45" s="272"/>
      <c r="U45" s="272"/>
      <c r="V45" s="272"/>
      <c r="W45" s="272"/>
    </row>
    <row r="46" spans="1:23" ht="42" thickBot="1" x14ac:dyDescent="0.35">
      <c r="A46" s="11" t="s">
        <v>21</v>
      </c>
      <c r="B46" s="179" t="s">
        <v>182</v>
      </c>
      <c r="C46" s="180" t="s">
        <v>183</v>
      </c>
      <c r="D46" s="180" t="s">
        <v>56</v>
      </c>
      <c r="E46" s="181" t="s">
        <v>184</v>
      </c>
      <c r="F46" s="182">
        <v>15</v>
      </c>
      <c r="G46" s="177">
        <v>1531.03271</v>
      </c>
      <c r="H46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1.5310327099999999</v>
      </c>
      <c r="I46" s="178" t="s">
        <v>179</v>
      </c>
      <c r="J46" s="181" t="s">
        <v>180</v>
      </c>
      <c r="K46" s="178" t="s">
        <v>181</v>
      </c>
      <c r="L46" s="184" t="s">
        <v>164</v>
      </c>
      <c r="M46" s="58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hidden="1" outlineLevel="1" x14ac:dyDescent="0.3">
      <c r="A47" s="11" t="s">
        <v>21</v>
      </c>
      <c r="B47" s="36"/>
      <c r="C47" s="10"/>
      <c r="D47" s="10"/>
      <c r="E47" s="9"/>
      <c r="F47" s="9"/>
      <c r="G47" s="9"/>
      <c r="H47" s="9"/>
      <c r="I47" s="10"/>
      <c r="J47" s="10"/>
      <c r="K47" s="10"/>
      <c r="L47" s="12"/>
      <c r="M47" s="58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hidden="1" outlineLevel="1" x14ac:dyDescent="0.3">
      <c r="A48" s="11" t="s">
        <v>21</v>
      </c>
      <c r="B48" s="36"/>
      <c r="C48" s="10"/>
      <c r="D48" s="10"/>
      <c r="E48" s="9"/>
      <c r="F48" s="9"/>
      <c r="G48" s="9"/>
      <c r="H48" s="9"/>
      <c r="I48" s="10"/>
      <c r="J48" s="10"/>
      <c r="K48" s="10"/>
      <c r="L48" s="12"/>
      <c r="M48" s="58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hidden="1" outlineLevel="1" x14ac:dyDescent="0.3">
      <c r="A49" s="11" t="s">
        <v>21</v>
      </c>
      <c r="B49" s="36"/>
      <c r="C49" s="10"/>
      <c r="D49" s="10"/>
      <c r="E49" s="9"/>
      <c r="F49" s="9"/>
      <c r="G49" s="9"/>
      <c r="H49" s="9"/>
      <c r="I49" s="10"/>
      <c r="J49" s="10"/>
      <c r="K49" s="10"/>
      <c r="L49" s="12"/>
      <c r="M49" s="58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idden="1" outlineLevel="1" x14ac:dyDescent="0.3">
      <c r="A50" s="11" t="s">
        <v>21</v>
      </c>
      <c r="B50" s="36"/>
      <c r="C50" s="10"/>
      <c r="D50" s="10"/>
      <c r="E50" s="9"/>
      <c r="F50" s="9"/>
      <c r="G50" s="9"/>
      <c r="H50" s="9"/>
      <c r="I50" s="10"/>
      <c r="J50" s="10"/>
      <c r="K50" s="10"/>
      <c r="L50" s="12"/>
      <c r="M50" s="58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idden="1" outlineLevel="1" x14ac:dyDescent="0.3">
      <c r="A51" s="11" t="s">
        <v>21</v>
      </c>
      <c r="B51" s="36"/>
      <c r="C51" s="10"/>
      <c r="D51" s="10"/>
      <c r="E51" s="9"/>
      <c r="F51" s="9"/>
      <c r="G51" s="9"/>
      <c r="H51" s="9"/>
      <c r="I51" s="10"/>
      <c r="J51" s="10"/>
      <c r="K51" s="10"/>
      <c r="L51" s="12"/>
      <c r="M51" s="58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idden="1" outlineLevel="1" x14ac:dyDescent="0.3">
      <c r="A52" s="11" t="s">
        <v>21</v>
      </c>
      <c r="B52" s="36"/>
      <c r="C52" s="10"/>
      <c r="D52" s="10"/>
      <c r="E52" s="9"/>
      <c r="F52" s="9"/>
      <c r="G52" s="9"/>
      <c r="H52" s="9"/>
      <c r="I52" s="10"/>
      <c r="J52" s="10"/>
      <c r="K52" s="10"/>
      <c r="L52" s="12"/>
      <c r="M52" s="58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idden="1" outlineLevel="1" x14ac:dyDescent="0.3">
      <c r="A53" s="11" t="s">
        <v>21</v>
      </c>
      <c r="B53" s="36"/>
      <c r="C53" s="10"/>
      <c r="D53" s="10"/>
      <c r="E53" s="9"/>
      <c r="F53" s="9"/>
      <c r="G53" s="9"/>
      <c r="H53" s="9"/>
      <c r="I53" s="10"/>
      <c r="J53" s="10"/>
      <c r="K53" s="10"/>
      <c r="L53" s="12"/>
      <c r="M53" s="58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idden="1" outlineLevel="1" x14ac:dyDescent="0.3">
      <c r="A54" s="11" t="s">
        <v>21</v>
      </c>
      <c r="B54" s="36"/>
      <c r="C54" s="10"/>
      <c r="D54" s="10"/>
      <c r="E54" s="9"/>
      <c r="F54" s="9"/>
      <c r="G54" s="9"/>
      <c r="H54" s="9"/>
      <c r="I54" s="10"/>
      <c r="J54" s="10"/>
      <c r="K54" s="10"/>
      <c r="L54" s="12"/>
      <c r="M54" s="58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hidden="1" outlineLevel="1" x14ac:dyDescent="0.3">
      <c r="A55" s="11" t="s">
        <v>21</v>
      </c>
      <c r="B55" s="36"/>
      <c r="C55" s="10"/>
      <c r="D55" s="10"/>
      <c r="E55" s="9"/>
      <c r="F55" s="9"/>
      <c r="G55" s="9"/>
      <c r="H55" s="9"/>
      <c r="I55" s="10"/>
      <c r="J55" s="10"/>
      <c r="K55" s="10"/>
      <c r="L55" s="12"/>
      <c r="M55" s="58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hidden="1" outlineLevel="1" x14ac:dyDescent="0.3">
      <c r="A56" s="11" t="s">
        <v>21</v>
      </c>
      <c r="B56" s="36"/>
      <c r="C56" s="10"/>
      <c r="D56" s="10"/>
      <c r="E56" s="9"/>
      <c r="F56" s="9"/>
      <c r="G56" s="9"/>
      <c r="H56" s="9"/>
      <c r="I56" s="10"/>
      <c r="J56" s="10"/>
      <c r="K56" s="10"/>
      <c r="L56" s="12"/>
      <c r="M56" s="58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hidden="1" outlineLevel="1" x14ac:dyDescent="0.3">
      <c r="A57" s="11" t="s">
        <v>21</v>
      </c>
      <c r="B57" s="36"/>
      <c r="C57" s="10"/>
      <c r="D57" s="10"/>
      <c r="E57" s="9"/>
      <c r="F57" s="9"/>
      <c r="G57" s="9"/>
      <c r="H57" s="9"/>
      <c r="I57" s="10"/>
      <c r="J57" s="10"/>
      <c r="K57" s="10"/>
      <c r="L57" s="12"/>
      <c r="M57" s="58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hidden="1" outlineLevel="1" x14ac:dyDescent="0.3">
      <c r="A58" s="11" t="s">
        <v>21</v>
      </c>
      <c r="B58" s="36"/>
      <c r="C58" s="10"/>
      <c r="D58" s="10"/>
      <c r="E58" s="9"/>
      <c r="F58" s="9"/>
      <c r="G58" s="9"/>
      <c r="H58" s="9"/>
      <c r="I58" s="10"/>
      <c r="J58" s="10"/>
      <c r="K58" s="10"/>
      <c r="L58" s="12"/>
      <c r="M58" s="58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hidden="1" outlineLevel="1" x14ac:dyDescent="0.3">
      <c r="A59" s="11" t="s">
        <v>21</v>
      </c>
      <c r="B59" s="36"/>
      <c r="C59" s="10"/>
      <c r="D59" s="10"/>
      <c r="E59" s="9"/>
      <c r="F59" s="9"/>
      <c r="G59" s="9"/>
      <c r="H59" s="9"/>
      <c r="I59" s="10"/>
      <c r="J59" s="10"/>
      <c r="K59" s="10"/>
      <c r="L59" s="12"/>
      <c r="M59" s="58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hidden="1" outlineLevel="1" x14ac:dyDescent="0.3">
      <c r="A60" s="11" t="s">
        <v>21</v>
      </c>
      <c r="B60" s="36"/>
      <c r="C60" s="10"/>
      <c r="D60" s="10"/>
      <c r="E60" s="9"/>
      <c r="F60" s="9"/>
      <c r="G60" s="9"/>
      <c r="H60" s="9"/>
      <c r="I60" s="10"/>
      <c r="J60" s="10"/>
      <c r="K60" s="10"/>
      <c r="L60" s="12"/>
      <c r="M60" s="58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hidden="1" outlineLevel="1" x14ac:dyDescent="0.3">
      <c r="A61" s="11" t="s">
        <v>21</v>
      </c>
      <c r="B61" s="36"/>
      <c r="C61" s="10"/>
      <c r="D61" s="10"/>
      <c r="E61" s="9"/>
      <c r="F61" s="9"/>
      <c r="G61" s="9"/>
      <c r="H61" s="9"/>
      <c r="I61" s="10"/>
      <c r="J61" s="10"/>
      <c r="K61" s="10"/>
      <c r="L61" s="12"/>
      <c r="M61" s="58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hidden="1" outlineLevel="1" x14ac:dyDescent="0.3">
      <c r="A62" s="11" t="s">
        <v>21</v>
      </c>
      <c r="B62" s="36"/>
      <c r="C62" s="10"/>
      <c r="D62" s="10"/>
      <c r="E62" s="9"/>
      <c r="F62" s="9"/>
      <c r="G62" s="9"/>
      <c r="H62" s="9"/>
      <c r="I62" s="10"/>
      <c r="J62" s="10"/>
      <c r="K62" s="10"/>
      <c r="L62" s="12"/>
      <c r="M62" s="58"/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hidden="1" outlineLevel="1" x14ac:dyDescent="0.3">
      <c r="A63" s="11" t="s">
        <v>21</v>
      </c>
      <c r="B63" s="36"/>
      <c r="C63" s="10"/>
      <c r="D63" s="10"/>
      <c r="E63" s="9"/>
      <c r="F63" s="9"/>
      <c r="G63" s="9"/>
      <c r="H63" s="9"/>
      <c r="I63" s="10"/>
      <c r="J63" s="10"/>
      <c r="K63" s="10"/>
      <c r="L63" s="12"/>
      <c r="M63" s="58"/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hidden="1" outlineLevel="1" x14ac:dyDescent="0.3">
      <c r="A64" s="11" t="s">
        <v>21</v>
      </c>
      <c r="B64" s="36"/>
      <c r="C64" s="10"/>
      <c r="D64" s="10"/>
      <c r="E64" s="9"/>
      <c r="F64" s="9"/>
      <c r="G64" s="9"/>
      <c r="H64" s="9"/>
      <c r="I64" s="10"/>
      <c r="J64" s="10"/>
      <c r="K64" s="10"/>
      <c r="L64" s="12"/>
      <c r="M64" s="58"/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3" hidden="1" outlineLevel="1" x14ac:dyDescent="0.3">
      <c r="A65" s="11" t="s">
        <v>21</v>
      </c>
      <c r="B65" s="36"/>
      <c r="C65" s="10"/>
      <c r="D65" s="10"/>
      <c r="E65" s="9"/>
      <c r="F65" s="9"/>
      <c r="G65" s="9"/>
      <c r="H65" s="9"/>
      <c r="I65" s="10"/>
      <c r="J65" s="10"/>
      <c r="K65" s="10"/>
      <c r="L65" s="12"/>
      <c r="M65" s="58"/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3" hidden="1" outlineLevel="1" x14ac:dyDescent="0.3">
      <c r="A66" s="11" t="s">
        <v>21</v>
      </c>
      <c r="B66" s="36"/>
      <c r="C66" s="10"/>
      <c r="D66" s="10"/>
      <c r="E66" s="9"/>
      <c r="F66" s="9"/>
      <c r="G66" s="9"/>
      <c r="H66" s="9"/>
      <c r="I66" s="10"/>
      <c r="J66" s="10"/>
      <c r="K66" s="10"/>
      <c r="L66" s="12"/>
      <c r="M66" s="58"/>
      <c r="N66" s="52"/>
      <c r="O66" s="52"/>
      <c r="P66" s="52"/>
      <c r="Q66" s="52"/>
      <c r="R66" s="52"/>
      <c r="S66" s="52"/>
      <c r="T66" s="52"/>
      <c r="U66" s="52"/>
      <c r="V66" s="52"/>
      <c r="W66" s="52"/>
    </row>
    <row r="67" spans="1:23" hidden="1" outlineLevel="1" x14ac:dyDescent="0.3">
      <c r="A67" s="11" t="s">
        <v>21</v>
      </c>
      <c r="B67" s="36"/>
      <c r="C67" s="10"/>
      <c r="D67" s="10"/>
      <c r="E67" s="9"/>
      <c r="F67" s="9"/>
      <c r="G67" s="9"/>
      <c r="H67" s="9"/>
      <c r="I67" s="10"/>
      <c r="J67" s="10"/>
      <c r="K67" s="10"/>
      <c r="L67" s="12"/>
      <c r="M67" s="58"/>
      <c r="N67" s="52"/>
      <c r="O67" s="52"/>
      <c r="P67" s="52"/>
      <c r="Q67" s="52"/>
      <c r="R67" s="52"/>
      <c r="S67" s="52"/>
      <c r="T67" s="52"/>
      <c r="U67" s="52"/>
      <c r="V67" s="52"/>
      <c r="W67" s="52"/>
    </row>
    <row r="68" spans="1:23" hidden="1" outlineLevel="1" x14ac:dyDescent="0.3">
      <c r="A68" s="11" t="s">
        <v>21</v>
      </c>
      <c r="B68" s="36"/>
      <c r="C68" s="10"/>
      <c r="D68" s="10"/>
      <c r="E68" s="9"/>
      <c r="F68" s="9"/>
      <c r="G68" s="9"/>
      <c r="H68" s="9"/>
      <c r="I68" s="10"/>
      <c r="J68" s="10"/>
      <c r="K68" s="10"/>
      <c r="L68" s="12"/>
      <c r="M68" s="58"/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3" hidden="1" outlineLevel="1" x14ac:dyDescent="0.3">
      <c r="A69" s="11" t="s">
        <v>21</v>
      </c>
      <c r="B69" s="36"/>
      <c r="C69" s="10"/>
      <c r="D69" s="10"/>
      <c r="E69" s="9"/>
      <c r="F69" s="9"/>
      <c r="G69" s="9"/>
      <c r="H69" s="9"/>
      <c r="I69" s="10"/>
      <c r="J69" s="10"/>
      <c r="K69" s="10"/>
      <c r="L69" s="12"/>
      <c r="M69" s="58"/>
      <c r="N69" s="52"/>
      <c r="O69" s="52"/>
      <c r="P69" s="52"/>
      <c r="Q69" s="52"/>
      <c r="R69" s="52"/>
      <c r="S69" s="52"/>
      <c r="T69" s="52"/>
      <c r="U69" s="52"/>
      <c r="V69" s="52"/>
      <c r="W69" s="52"/>
    </row>
    <row r="70" spans="1:23" hidden="1" outlineLevel="1" x14ac:dyDescent="0.3">
      <c r="A70" s="11" t="s">
        <v>21</v>
      </c>
      <c r="B70" s="36"/>
      <c r="C70" s="10"/>
      <c r="D70" s="10"/>
      <c r="E70" s="9"/>
      <c r="F70" s="9"/>
      <c r="G70" s="9"/>
      <c r="H70" s="9"/>
      <c r="I70" s="10"/>
      <c r="J70" s="10"/>
      <c r="K70" s="10"/>
      <c r="L70" s="12"/>
      <c r="M70" s="58"/>
      <c r="N70" s="52"/>
      <c r="O70" s="52"/>
      <c r="P70" s="52"/>
      <c r="Q70" s="52"/>
      <c r="R70" s="52"/>
      <c r="S70" s="52"/>
      <c r="T70" s="52"/>
      <c r="U70" s="52"/>
      <c r="V70" s="52"/>
      <c r="W70" s="52"/>
    </row>
    <row r="71" spans="1:23" hidden="1" outlineLevel="1" x14ac:dyDescent="0.3">
      <c r="A71" s="11" t="s">
        <v>21</v>
      </c>
      <c r="B71" s="36"/>
      <c r="C71" s="10"/>
      <c r="D71" s="10"/>
      <c r="E71" s="9"/>
      <c r="F71" s="9"/>
      <c r="G71" s="9"/>
      <c r="H71" s="9"/>
      <c r="I71" s="10"/>
      <c r="J71" s="10"/>
      <c r="K71" s="10"/>
      <c r="L71" s="12"/>
      <c r="M71" s="58"/>
      <c r="N71" s="52"/>
      <c r="O71" s="52"/>
      <c r="P71" s="52"/>
      <c r="Q71" s="52"/>
      <c r="R71" s="52"/>
      <c r="S71" s="52"/>
      <c r="T71" s="52"/>
      <c r="U71" s="52"/>
      <c r="V71" s="52"/>
      <c r="W71" s="52"/>
    </row>
    <row r="72" spans="1:23" hidden="1" outlineLevel="1" x14ac:dyDescent="0.3">
      <c r="A72" s="11" t="s">
        <v>21</v>
      </c>
      <c r="B72" s="36"/>
      <c r="C72" s="10"/>
      <c r="D72" s="10"/>
      <c r="E72" s="9"/>
      <c r="F72" s="9"/>
      <c r="G72" s="9"/>
      <c r="H72" s="9"/>
      <c r="I72" s="10"/>
      <c r="J72" s="10"/>
      <c r="K72" s="10"/>
      <c r="L72" s="12"/>
      <c r="M72" s="58"/>
      <c r="N72" s="52"/>
      <c r="O72" s="52"/>
      <c r="P72" s="52"/>
      <c r="Q72" s="52"/>
      <c r="R72" s="52"/>
      <c r="S72" s="52"/>
      <c r="T72" s="52"/>
      <c r="U72" s="52"/>
      <c r="V72" s="52"/>
      <c r="W72" s="52"/>
    </row>
    <row r="73" spans="1:23" hidden="1" outlineLevel="1" x14ac:dyDescent="0.3">
      <c r="A73" s="11" t="s">
        <v>21</v>
      </c>
      <c r="B73" s="36"/>
      <c r="C73" s="10"/>
      <c r="D73" s="10"/>
      <c r="E73" s="9"/>
      <c r="F73" s="9"/>
      <c r="G73" s="9"/>
      <c r="H73" s="9"/>
      <c r="I73" s="10"/>
      <c r="J73" s="10"/>
      <c r="K73" s="10"/>
      <c r="L73" s="12"/>
      <c r="M73" s="58"/>
      <c r="N73" s="52"/>
      <c r="O73" s="52"/>
      <c r="P73" s="52"/>
      <c r="Q73" s="52"/>
      <c r="R73" s="52"/>
      <c r="S73" s="52"/>
      <c r="T73" s="52"/>
      <c r="U73" s="52"/>
      <c r="V73" s="52"/>
      <c r="W73" s="52"/>
    </row>
    <row r="74" spans="1:23" hidden="1" outlineLevel="1" x14ac:dyDescent="0.3">
      <c r="A74" s="11" t="s">
        <v>21</v>
      </c>
      <c r="B74" s="36"/>
      <c r="C74" s="10"/>
      <c r="D74" s="10"/>
      <c r="E74" s="9"/>
      <c r="F74" s="9"/>
      <c r="G74" s="9"/>
      <c r="H74" s="9"/>
      <c r="I74" s="10"/>
      <c r="J74" s="10"/>
      <c r="K74" s="10"/>
      <c r="L74" s="12"/>
      <c r="M74" s="58"/>
      <c r="N74" s="52"/>
      <c r="O74" s="52"/>
      <c r="P74" s="52"/>
      <c r="Q74" s="52"/>
      <c r="R74" s="52"/>
      <c r="S74" s="52"/>
      <c r="T74" s="52"/>
      <c r="U74" s="52"/>
      <c r="V74" s="52"/>
      <c r="W74" s="52"/>
    </row>
    <row r="75" spans="1:23" hidden="1" outlineLevel="1" x14ac:dyDescent="0.3">
      <c r="A75" s="11" t="s">
        <v>21</v>
      </c>
      <c r="B75" s="36"/>
      <c r="C75" s="10"/>
      <c r="D75" s="10"/>
      <c r="E75" s="9"/>
      <c r="F75" s="9"/>
      <c r="G75" s="9"/>
      <c r="H75" s="9"/>
      <c r="I75" s="10"/>
      <c r="J75" s="10"/>
      <c r="K75" s="10"/>
      <c r="L75" s="12"/>
      <c r="M75" s="58"/>
      <c r="N75" s="52"/>
      <c r="O75" s="52"/>
      <c r="P75" s="52"/>
      <c r="Q75" s="52"/>
      <c r="R75" s="52"/>
      <c r="S75" s="52"/>
      <c r="T75" s="52"/>
      <c r="U75" s="52"/>
      <c r="V75" s="52"/>
      <c r="W75" s="52"/>
    </row>
    <row r="76" spans="1:23" hidden="1" outlineLevel="1" x14ac:dyDescent="0.3">
      <c r="A76" s="11" t="s">
        <v>21</v>
      </c>
      <c r="B76" s="36"/>
      <c r="C76" s="10"/>
      <c r="D76" s="10"/>
      <c r="E76" s="9"/>
      <c r="F76" s="9"/>
      <c r="G76" s="9"/>
      <c r="H76" s="9"/>
      <c r="I76" s="10"/>
      <c r="J76" s="10"/>
      <c r="K76" s="10"/>
      <c r="L76" s="12"/>
      <c r="M76" s="58"/>
      <c r="N76" s="52"/>
      <c r="O76" s="52"/>
      <c r="P76" s="52"/>
      <c r="Q76" s="52"/>
      <c r="R76" s="52"/>
      <c r="S76" s="52"/>
      <c r="T76" s="52"/>
      <c r="U76" s="52"/>
      <c r="V76" s="52"/>
      <c r="W76" s="52"/>
    </row>
    <row r="77" spans="1:23" hidden="1" outlineLevel="1" x14ac:dyDescent="0.3">
      <c r="A77" s="11" t="s">
        <v>21</v>
      </c>
      <c r="B77" s="36"/>
      <c r="C77" s="10"/>
      <c r="D77" s="10"/>
      <c r="E77" s="9"/>
      <c r="F77" s="9"/>
      <c r="G77" s="9"/>
      <c r="H77" s="9"/>
      <c r="I77" s="10"/>
      <c r="J77" s="10"/>
      <c r="K77" s="10"/>
      <c r="L77" s="12"/>
      <c r="M77" s="58"/>
      <c r="N77" s="52"/>
      <c r="O77" s="52"/>
      <c r="P77" s="52"/>
      <c r="Q77" s="52"/>
      <c r="R77" s="52"/>
      <c r="S77" s="52"/>
      <c r="T77" s="52"/>
      <c r="U77" s="52"/>
      <c r="V77" s="52"/>
      <c r="W77" s="52"/>
    </row>
    <row r="78" spans="1:23" hidden="1" outlineLevel="1" x14ac:dyDescent="0.3">
      <c r="A78" s="11" t="s">
        <v>21</v>
      </c>
      <c r="B78" s="36"/>
      <c r="C78" s="10"/>
      <c r="D78" s="10"/>
      <c r="E78" s="9"/>
      <c r="F78" s="9"/>
      <c r="G78" s="9"/>
      <c r="H78" s="9"/>
      <c r="I78" s="10"/>
      <c r="J78" s="10"/>
      <c r="K78" s="10"/>
      <c r="L78" s="12"/>
      <c r="M78" s="58"/>
      <c r="N78" s="52"/>
      <c r="O78" s="52"/>
      <c r="P78" s="52"/>
      <c r="Q78" s="52"/>
      <c r="R78" s="52"/>
      <c r="S78" s="52"/>
      <c r="T78" s="52"/>
      <c r="U78" s="52"/>
      <c r="V78" s="52"/>
      <c r="W78" s="52"/>
    </row>
    <row r="79" spans="1:23" hidden="1" outlineLevel="1" x14ac:dyDescent="0.3">
      <c r="A79" s="11" t="s">
        <v>21</v>
      </c>
      <c r="B79" s="36"/>
      <c r="C79" s="10"/>
      <c r="D79" s="10"/>
      <c r="E79" s="9"/>
      <c r="F79" s="9"/>
      <c r="G79" s="9"/>
      <c r="H79" s="9"/>
      <c r="I79" s="10"/>
      <c r="J79" s="10"/>
      <c r="K79" s="10"/>
      <c r="L79" s="12"/>
      <c r="M79" s="58"/>
      <c r="N79" s="52"/>
      <c r="O79" s="52"/>
      <c r="P79" s="52"/>
      <c r="Q79" s="52"/>
      <c r="R79" s="52"/>
      <c r="S79" s="52"/>
      <c r="T79" s="52"/>
      <c r="U79" s="52"/>
      <c r="V79" s="52"/>
      <c r="W79" s="52"/>
    </row>
    <row r="80" spans="1:23" hidden="1" outlineLevel="1" x14ac:dyDescent="0.3">
      <c r="A80" s="11" t="s">
        <v>21</v>
      </c>
      <c r="B80" s="36"/>
      <c r="C80" s="10"/>
      <c r="D80" s="10"/>
      <c r="E80" s="9"/>
      <c r="F80" s="9"/>
      <c r="G80" s="9"/>
      <c r="H80" s="9"/>
      <c r="I80" s="10"/>
      <c r="J80" s="10"/>
      <c r="K80" s="10"/>
      <c r="L80" s="12"/>
      <c r="M80" s="58"/>
      <c r="N80" s="52"/>
      <c r="O80" s="52"/>
      <c r="P80" s="52"/>
      <c r="Q80" s="52"/>
      <c r="R80" s="52"/>
      <c r="S80" s="52"/>
      <c r="T80" s="52"/>
      <c r="U80" s="52"/>
      <c r="V80" s="52"/>
      <c r="W80" s="52"/>
    </row>
    <row r="81" spans="1:23" hidden="1" outlineLevel="1" x14ac:dyDescent="0.3">
      <c r="A81" s="11" t="s">
        <v>21</v>
      </c>
      <c r="B81" s="36"/>
      <c r="C81" s="10"/>
      <c r="D81" s="10"/>
      <c r="E81" s="9"/>
      <c r="F81" s="9"/>
      <c r="G81" s="9"/>
      <c r="H81" s="9"/>
      <c r="I81" s="10"/>
      <c r="J81" s="10"/>
      <c r="K81" s="10"/>
      <c r="L81" s="12"/>
      <c r="M81" s="58"/>
      <c r="N81" s="52"/>
      <c r="O81" s="52"/>
      <c r="P81" s="52"/>
      <c r="Q81" s="52"/>
      <c r="R81" s="52"/>
      <c r="S81" s="52"/>
      <c r="T81" s="52"/>
      <c r="U81" s="52"/>
      <c r="V81" s="52"/>
      <c r="W81" s="52"/>
    </row>
    <row r="82" spans="1:23" hidden="1" outlineLevel="1" x14ac:dyDescent="0.3">
      <c r="A82" s="11" t="s">
        <v>21</v>
      </c>
      <c r="B82" s="36"/>
      <c r="C82" s="10"/>
      <c r="D82" s="10"/>
      <c r="E82" s="9"/>
      <c r="F82" s="9"/>
      <c r="G82" s="9"/>
      <c r="H82" s="9"/>
      <c r="I82" s="10"/>
      <c r="J82" s="10"/>
      <c r="K82" s="10"/>
      <c r="L82" s="12"/>
      <c r="M82" s="58"/>
      <c r="N82" s="52"/>
      <c r="O82" s="52"/>
      <c r="P82" s="52"/>
      <c r="Q82" s="52"/>
      <c r="R82" s="52"/>
      <c r="S82" s="52"/>
      <c r="T82" s="52"/>
      <c r="U82" s="52"/>
      <c r="V82" s="52"/>
      <c r="W82" s="52"/>
    </row>
    <row r="83" spans="1:23" hidden="1" outlineLevel="1" x14ac:dyDescent="0.3">
      <c r="A83" s="11" t="s">
        <v>21</v>
      </c>
      <c r="B83" s="36"/>
      <c r="C83" s="10"/>
      <c r="D83" s="10"/>
      <c r="E83" s="9"/>
      <c r="F83" s="9"/>
      <c r="G83" s="9"/>
      <c r="H83" s="9"/>
      <c r="I83" s="10"/>
      <c r="J83" s="10"/>
      <c r="K83" s="10"/>
      <c r="L83" s="12"/>
      <c r="M83" s="58"/>
      <c r="N83" s="52"/>
      <c r="O83" s="52"/>
      <c r="P83" s="52"/>
      <c r="Q83" s="52"/>
      <c r="R83" s="52"/>
      <c r="S83" s="52"/>
      <c r="T83" s="52"/>
      <c r="U83" s="52"/>
      <c r="V83" s="52"/>
      <c r="W83" s="52"/>
    </row>
    <row r="84" spans="1:23" hidden="1" outlineLevel="1" x14ac:dyDescent="0.3">
      <c r="A84" s="11" t="s">
        <v>21</v>
      </c>
      <c r="B84" s="36"/>
      <c r="C84" s="10"/>
      <c r="D84" s="10"/>
      <c r="E84" s="9"/>
      <c r="F84" s="9"/>
      <c r="G84" s="9"/>
      <c r="H84" s="9"/>
      <c r="I84" s="10"/>
      <c r="J84" s="10"/>
      <c r="K84" s="10"/>
      <c r="L84" s="12"/>
      <c r="M84" s="58"/>
      <c r="N84" s="52"/>
      <c r="O84" s="52"/>
      <c r="P84" s="52"/>
      <c r="Q84" s="52"/>
      <c r="R84" s="52"/>
      <c r="S84" s="52"/>
      <c r="T84" s="52"/>
      <c r="U84" s="52"/>
      <c r="V84" s="52"/>
      <c r="W84" s="52"/>
    </row>
    <row r="85" spans="1:23" hidden="1" outlineLevel="1" x14ac:dyDescent="0.3">
      <c r="A85" s="11" t="s">
        <v>21</v>
      </c>
      <c r="B85" s="36"/>
      <c r="C85" s="10"/>
      <c r="D85" s="10"/>
      <c r="E85" s="9"/>
      <c r="F85" s="9"/>
      <c r="G85" s="9"/>
      <c r="H85" s="9"/>
      <c r="I85" s="10"/>
      <c r="J85" s="10"/>
      <c r="K85" s="10"/>
      <c r="L85" s="12"/>
      <c r="M85" s="58"/>
      <c r="N85" s="52"/>
      <c r="O85" s="52"/>
      <c r="P85" s="52"/>
      <c r="Q85" s="52"/>
      <c r="R85" s="52"/>
      <c r="S85" s="52"/>
      <c r="T85" s="52"/>
      <c r="U85" s="52"/>
      <c r="V85" s="52"/>
      <c r="W85" s="52"/>
    </row>
    <row r="86" spans="1:23" hidden="1" outlineLevel="1" x14ac:dyDescent="0.3">
      <c r="A86" s="11" t="s">
        <v>21</v>
      </c>
      <c r="B86" s="36"/>
      <c r="C86" s="10"/>
      <c r="D86" s="10"/>
      <c r="E86" s="9"/>
      <c r="F86" s="9"/>
      <c r="G86" s="9"/>
      <c r="H86" s="9"/>
      <c r="I86" s="10"/>
      <c r="J86" s="10"/>
      <c r="K86" s="10"/>
      <c r="L86" s="12"/>
      <c r="M86" s="58"/>
      <c r="N86" s="52"/>
      <c r="O86" s="52"/>
      <c r="P86" s="52"/>
      <c r="Q86" s="52"/>
      <c r="R86" s="52"/>
      <c r="S86" s="52"/>
      <c r="T86" s="52"/>
      <c r="U86" s="52"/>
      <c r="V86" s="52"/>
      <c r="W86" s="52"/>
    </row>
    <row r="87" spans="1:23" hidden="1" outlineLevel="1" x14ac:dyDescent="0.3">
      <c r="A87" s="11" t="s">
        <v>21</v>
      </c>
      <c r="B87" s="36"/>
      <c r="C87" s="10"/>
      <c r="D87" s="10"/>
      <c r="E87" s="9"/>
      <c r="F87" s="9"/>
      <c r="G87" s="9"/>
      <c r="H87" s="9"/>
      <c r="I87" s="10"/>
      <c r="J87" s="10"/>
      <c r="K87" s="10"/>
      <c r="L87" s="12"/>
      <c r="M87" s="58"/>
      <c r="N87" s="52"/>
      <c r="O87" s="52"/>
      <c r="P87" s="52"/>
      <c r="Q87" s="52"/>
      <c r="R87" s="52"/>
      <c r="S87" s="52"/>
      <c r="T87" s="52"/>
      <c r="U87" s="52"/>
      <c r="V87" s="52"/>
      <c r="W87" s="52"/>
    </row>
    <row r="88" spans="1:23" hidden="1" outlineLevel="1" x14ac:dyDescent="0.3">
      <c r="A88" s="11" t="s">
        <v>21</v>
      </c>
      <c r="B88" s="36"/>
      <c r="C88" s="10"/>
      <c r="D88" s="10"/>
      <c r="E88" s="9"/>
      <c r="F88" s="9"/>
      <c r="G88" s="9"/>
      <c r="H88" s="9"/>
      <c r="I88" s="10"/>
      <c r="J88" s="10"/>
      <c r="K88" s="10"/>
      <c r="L88" s="12"/>
      <c r="M88" s="58"/>
      <c r="N88" s="52"/>
      <c r="O88" s="52"/>
      <c r="P88" s="52"/>
      <c r="Q88" s="52"/>
      <c r="R88" s="52"/>
      <c r="S88" s="52"/>
      <c r="T88" s="52"/>
      <c r="U88" s="52"/>
      <c r="V88" s="52"/>
      <c r="W88" s="52"/>
    </row>
    <row r="89" spans="1:23" hidden="1" outlineLevel="1" x14ac:dyDescent="0.3">
      <c r="A89" s="11" t="s">
        <v>21</v>
      </c>
      <c r="B89" s="36"/>
      <c r="C89" s="10"/>
      <c r="D89" s="10"/>
      <c r="E89" s="9"/>
      <c r="F89" s="9"/>
      <c r="G89" s="9"/>
      <c r="H89" s="9"/>
      <c r="I89" s="10"/>
      <c r="J89" s="10"/>
      <c r="K89" s="10"/>
      <c r="L89" s="12"/>
      <c r="M89" s="58"/>
      <c r="N89" s="52"/>
      <c r="O89" s="52"/>
      <c r="P89" s="52"/>
      <c r="Q89" s="52"/>
      <c r="R89" s="52"/>
      <c r="S89" s="52"/>
      <c r="T89" s="52"/>
      <c r="U89" s="52"/>
      <c r="V89" s="52"/>
      <c r="W89" s="52"/>
    </row>
    <row r="90" spans="1:23" hidden="1" outlineLevel="1" x14ac:dyDescent="0.3">
      <c r="A90" s="11" t="s">
        <v>21</v>
      </c>
      <c r="B90" s="36"/>
      <c r="C90" s="10"/>
      <c r="D90" s="10"/>
      <c r="E90" s="9"/>
      <c r="F90" s="9"/>
      <c r="G90" s="9"/>
      <c r="H90" s="9"/>
      <c r="I90" s="10"/>
      <c r="J90" s="10"/>
      <c r="K90" s="10"/>
      <c r="L90" s="12"/>
      <c r="M90" s="58"/>
      <c r="N90" s="52"/>
      <c r="O90" s="52"/>
      <c r="P90" s="52"/>
      <c r="Q90" s="52"/>
      <c r="R90" s="52"/>
      <c r="S90" s="52"/>
      <c r="T90" s="52"/>
      <c r="U90" s="52"/>
      <c r="V90" s="52"/>
      <c r="W90" s="52"/>
    </row>
    <row r="91" spans="1:23" hidden="1" outlineLevel="1" x14ac:dyDescent="0.3">
      <c r="A91" s="11" t="s">
        <v>21</v>
      </c>
      <c r="B91" s="36"/>
      <c r="C91" s="10"/>
      <c r="D91" s="10"/>
      <c r="E91" s="9"/>
      <c r="F91" s="9"/>
      <c r="G91" s="9"/>
      <c r="H91" s="9"/>
      <c r="I91" s="10"/>
      <c r="J91" s="10"/>
      <c r="K91" s="10"/>
      <c r="L91" s="12"/>
      <c r="M91" s="58"/>
      <c r="N91" s="52"/>
      <c r="O91" s="52"/>
      <c r="P91" s="52"/>
      <c r="Q91" s="52"/>
      <c r="R91" s="52"/>
      <c r="S91" s="52"/>
      <c r="T91" s="52"/>
      <c r="U91" s="52"/>
      <c r="V91" s="52"/>
      <c r="W91" s="52"/>
    </row>
    <row r="92" spans="1:23" hidden="1" outlineLevel="1" x14ac:dyDescent="0.3">
      <c r="A92" s="11" t="s">
        <v>21</v>
      </c>
      <c r="B92" s="36"/>
      <c r="C92" s="10"/>
      <c r="D92" s="10"/>
      <c r="E92" s="9"/>
      <c r="F92" s="9"/>
      <c r="G92" s="9"/>
      <c r="H92" s="9"/>
      <c r="I92" s="10"/>
      <c r="J92" s="10"/>
      <c r="K92" s="10"/>
      <c r="L92" s="12"/>
      <c r="M92" s="58"/>
      <c r="N92" s="52"/>
      <c r="O92" s="52"/>
      <c r="P92" s="52"/>
      <c r="Q92" s="52"/>
      <c r="R92" s="52"/>
      <c r="S92" s="52"/>
      <c r="T92" s="52"/>
      <c r="U92" s="52"/>
      <c r="V92" s="52"/>
      <c r="W92" s="52"/>
    </row>
    <row r="93" spans="1:23" hidden="1" outlineLevel="1" x14ac:dyDescent="0.3">
      <c r="A93" s="11" t="s">
        <v>21</v>
      </c>
      <c r="B93" s="36"/>
      <c r="C93" s="10"/>
      <c r="D93" s="10"/>
      <c r="E93" s="9"/>
      <c r="F93" s="9"/>
      <c r="G93" s="9"/>
      <c r="H93" s="9"/>
      <c r="I93" s="10"/>
      <c r="J93" s="10"/>
      <c r="K93" s="10"/>
      <c r="L93" s="12"/>
      <c r="M93" s="58"/>
      <c r="N93" s="52"/>
      <c r="O93" s="52"/>
      <c r="P93" s="52"/>
      <c r="Q93" s="52"/>
      <c r="R93" s="52"/>
      <c r="S93" s="52"/>
      <c r="T93" s="52"/>
      <c r="U93" s="52"/>
      <c r="V93" s="52"/>
      <c r="W93" s="52"/>
    </row>
    <row r="94" spans="1:23" hidden="1" outlineLevel="1" x14ac:dyDescent="0.3">
      <c r="A94" s="11" t="s">
        <v>21</v>
      </c>
      <c r="B94" s="36"/>
      <c r="C94" s="10"/>
      <c r="D94" s="10"/>
      <c r="E94" s="9"/>
      <c r="F94" s="9"/>
      <c r="G94" s="9"/>
      <c r="H94" s="9"/>
      <c r="I94" s="10"/>
      <c r="J94" s="10"/>
      <c r="K94" s="10"/>
      <c r="L94" s="12"/>
      <c r="M94" s="58"/>
      <c r="N94" s="52"/>
      <c r="O94" s="52"/>
      <c r="P94" s="52"/>
      <c r="Q94" s="52"/>
      <c r="R94" s="52"/>
      <c r="S94" s="52"/>
      <c r="T94" s="52"/>
      <c r="U94" s="52"/>
      <c r="V94" s="52"/>
      <c r="W94" s="52"/>
    </row>
    <row r="95" spans="1:23" hidden="1" outlineLevel="1" x14ac:dyDescent="0.3">
      <c r="A95" s="11" t="s">
        <v>21</v>
      </c>
      <c r="B95" s="36"/>
      <c r="C95" s="10"/>
      <c r="D95" s="10"/>
      <c r="E95" s="9"/>
      <c r="F95" s="9"/>
      <c r="G95" s="9"/>
      <c r="H95" s="9"/>
      <c r="I95" s="10"/>
      <c r="J95" s="10"/>
      <c r="K95" s="10"/>
      <c r="L95" s="12"/>
      <c r="M95" s="58"/>
      <c r="N95" s="52"/>
      <c r="O95" s="52"/>
      <c r="P95" s="52"/>
      <c r="Q95" s="52"/>
      <c r="R95" s="52"/>
      <c r="S95" s="52"/>
      <c r="T95" s="52"/>
      <c r="U95" s="52"/>
      <c r="V95" s="52"/>
      <c r="W95" s="52"/>
    </row>
    <row r="96" spans="1:23" hidden="1" outlineLevel="1" x14ac:dyDescent="0.3">
      <c r="A96" s="11" t="s">
        <v>21</v>
      </c>
      <c r="B96" s="36"/>
      <c r="C96" s="10"/>
      <c r="D96" s="10"/>
      <c r="E96" s="9"/>
      <c r="F96" s="9"/>
      <c r="G96" s="9"/>
      <c r="H96" s="9"/>
      <c r="I96" s="10"/>
      <c r="J96" s="10"/>
      <c r="K96" s="10"/>
      <c r="L96" s="12"/>
      <c r="M96" s="58"/>
      <c r="N96" s="52"/>
      <c r="O96" s="52"/>
      <c r="P96" s="52"/>
      <c r="Q96" s="52"/>
      <c r="R96" s="52"/>
      <c r="S96" s="52"/>
      <c r="T96" s="52"/>
      <c r="U96" s="52"/>
      <c r="V96" s="52"/>
      <c r="W96" s="52"/>
    </row>
    <row r="97" spans="1:23" hidden="1" outlineLevel="1" x14ac:dyDescent="0.3">
      <c r="A97" s="11" t="s">
        <v>21</v>
      </c>
      <c r="B97" s="36"/>
      <c r="C97" s="10"/>
      <c r="D97" s="10"/>
      <c r="E97" s="9"/>
      <c r="F97" s="9"/>
      <c r="G97" s="9"/>
      <c r="H97" s="9"/>
      <c r="I97" s="10"/>
      <c r="J97" s="10"/>
      <c r="K97" s="10"/>
      <c r="L97" s="12"/>
      <c r="M97" s="58"/>
      <c r="N97" s="52"/>
      <c r="O97" s="52"/>
      <c r="P97" s="52"/>
      <c r="Q97" s="52"/>
      <c r="R97" s="52"/>
      <c r="S97" s="52"/>
      <c r="T97" s="52"/>
      <c r="U97" s="52"/>
      <c r="V97" s="52"/>
      <c r="W97" s="52"/>
    </row>
    <row r="98" spans="1:23" hidden="1" outlineLevel="1" x14ac:dyDescent="0.3">
      <c r="A98" s="11" t="s">
        <v>21</v>
      </c>
      <c r="B98" s="36"/>
      <c r="C98" s="10"/>
      <c r="D98" s="10"/>
      <c r="E98" s="9"/>
      <c r="F98" s="9"/>
      <c r="G98" s="9"/>
      <c r="H98" s="9"/>
      <c r="I98" s="10"/>
      <c r="J98" s="10"/>
      <c r="K98" s="10"/>
      <c r="L98" s="12"/>
      <c r="M98" s="58"/>
      <c r="N98" s="52"/>
      <c r="O98" s="52"/>
      <c r="P98" s="52"/>
      <c r="Q98" s="52"/>
      <c r="R98" s="52"/>
      <c r="S98" s="52"/>
      <c r="T98" s="52"/>
      <c r="U98" s="52"/>
      <c r="V98" s="52"/>
      <c r="W98" s="52"/>
    </row>
    <row r="99" spans="1:23" hidden="1" outlineLevel="1" x14ac:dyDescent="0.3">
      <c r="A99" s="11" t="s">
        <v>21</v>
      </c>
      <c r="B99" s="36"/>
      <c r="C99" s="10"/>
      <c r="D99" s="10"/>
      <c r="E99" s="9"/>
      <c r="F99" s="9"/>
      <c r="G99" s="9"/>
      <c r="H99" s="9"/>
      <c r="I99" s="10"/>
      <c r="J99" s="10"/>
      <c r="K99" s="10"/>
      <c r="L99" s="12"/>
      <c r="M99" s="58"/>
      <c r="N99" s="52"/>
      <c r="O99" s="52"/>
      <c r="P99" s="52"/>
      <c r="Q99" s="52"/>
      <c r="R99" s="52"/>
      <c r="S99" s="52"/>
      <c r="T99" s="52"/>
      <c r="U99" s="52"/>
      <c r="V99" s="52"/>
      <c r="W99" s="52"/>
    </row>
    <row r="100" spans="1:23" hidden="1" outlineLevel="1" x14ac:dyDescent="0.3">
      <c r="A100" s="11" t="s">
        <v>21</v>
      </c>
      <c r="B100" s="36"/>
      <c r="C100" s="10"/>
      <c r="D100" s="10"/>
      <c r="E100" s="9"/>
      <c r="F100" s="9"/>
      <c r="G100" s="9"/>
      <c r="H100" s="9"/>
      <c r="I100" s="10"/>
      <c r="J100" s="10"/>
      <c r="K100" s="10"/>
      <c r="L100" s="12"/>
      <c r="M100" s="58"/>
      <c r="N100" s="52"/>
      <c r="O100" s="52"/>
      <c r="P100" s="52"/>
      <c r="Q100" s="52"/>
      <c r="R100" s="52"/>
      <c r="S100" s="52"/>
      <c r="T100" s="52"/>
      <c r="U100" s="52"/>
      <c r="V100" s="52"/>
      <c r="W100" s="52"/>
    </row>
    <row r="101" spans="1:23" hidden="1" outlineLevel="1" x14ac:dyDescent="0.3">
      <c r="A101" s="11" t="s">
        <v>21</v>
      </c>
      <c r="B101" s="36"/>
      <c r="C101" s="10"/>
      <c r="D101" s="10"/>
      <c r="E101" s="9"/>
      <c r="F101" s="9"/>
      <c r="G101" s="9"/>
      <c r="H101" s="9"/>
      <c r="I101" s="10"/>
      <c r="J101" s="10"/>
      <c r="K101" s="10"/>
      <c r="L101" s="12"/>
      <c r="M101" s="58"/>
      <c r="N101" s="52"/>
      <c r="O101" s="52"/>
      <c r="P101" s="52"/>
      <c r="Q101" s="52"/>
      <c r="R101" s="52"/>
      <c r="S101" s="52"/>
      <c r="T101" s="52"/>
      <c r="U101" s="52"/>
      <c r="V101" s="52"/>
      <c r="W101" s="52"/>
    </row>
    <row r="102" spans="1:23" hidden="1" outlineLevel="1" x14ac:dyDescent="0.3">
      <c r="A102" s="11" t="s">
        <v>21</v>
      </c>
      <c r="B102" s="36"/>
      <c r="C102" s="10"/>
      <c r="D102" s="10"/>
      <c r="E102" s="9"/>
      <c r="F102" s="9"/>
      <c r="G102" s="9"/>
      <c r="H102" s="9"/>
      <c r="I102" s="10"/>
      <c r="J102" s="10"/>
      <c r="K102" s="10"/>
      <c r="L102" s="12"/>
      <c r="M102" s="58"/>
      <c r="N102" s="52"/>
      <c r="O102" s="52"/>
      <c r="P102" s="52"/>
      <c r="Q102" s="52"/>
      <c r="R102" s="52"/>
      <c r="S102" s="52"/>
      <c r="T102" s="52"/>
      <c r="U102" s="52"/>
      <c r="V102" s="52"/>
      <c r="W102" s="52"/>
    </row>
    <row r="103" spans="1:23" ht="16.2" hidden="1" outlineLevel="1" thickBot="1" x14ac:dyDescent="0.35">
      <c r="A103" s="13" t="s">
        <v>21</v>
      </c>
      <c r="B103" s="40"/>
      <c r="C103" s="15"/>
      <c r="D103" s="15"/>
      <c r="E103" s="14"/>
      <c r="F103" s="14"/>
      <c r="G103" s="14"/>
      <c r="H103" s="14"/>
      <c r="I103" s="15"/>
      <c r="J103" s="15"/>
      <c r="K103" s="15"/>
      <c r="L103" s="16"/>
      <c r="M103" s="58"/>
      <c r="N103" s="52"/>
      <c r="O103" s="52"/>
      <c r="P103" s="52"/>
      <c r="Q103" s="52"/>
      <c r="R103" s="52"/>
      <c r="S103" s="52"/>
      <c r="T103" s="52"/>
      <c r="U103" s="52"/>
      <c r="V103" s="52"/>
      <c r="W103" s="52"/>
    </row>
    <row r="104" spans="1:23" ht="72.599999999999994" hidden="1" outlineLevel="1" thickBot="1" x14ac:dyDescent="0.35">
      <c r="A104" s="27" t="s">
        <v>23</v>
      </c>
      <c r="B104" s="28" t="s">
        <v>22</v>
      </c>
      <c r="C104" s="23">
        <v>2020</v>
      </c>
      <c r="D104" s="23">
        <v>0.4</v>
      </c>
      <c r="E104" s="17">
        <f>E105</f>
        <v>0</v>
      </c>
      <c r="F104" s="17">
        <f>F105</f>
        <v>0</v>
      </c>
      <c r="G104" s="17">
        <f>G105</f>
        <v>0</v>
      </c>
      <c r="H104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04" s="23" t="s">
        <v>17</v>
      </c>
      <c r="J104" s="23" t="s">
        <v>17</v>
      </c>
      <c r="K104" s="23" t="s">
        <v>17</v>
      </c>
      <c r="L104" s="24" t="s">
        <v>17</v>
      </c>
      <c r="M104" s="58"/>
      <c r="N104" s="52"/>
      <c r="O104" s="52"/>
      <c r="P104" s="52"/>
      <c r="Q104" s="52"/>
      <c r="R104" s="52"/>
      <c r="S104" s="52"/>
      <c r="T104" s="52"/>
      <c r="U104" s="52"/>
      <c r="V104" s="52"/>
      <c r="W104" s="52"/>
    </row>
    <row r="105" spans="1:23" ht="16.2" hidden="1" outlineLevel="1" thickBot="1" x14ac:dyDescent="0.35">
      <c r="A105" s="66" t="s">
        <v>23</v>
      </c>
      <c r="B105" s="38"/>
      <c r="C105" s="37"/>
      <c r="D105" s="37"/>
      <c r="E105" s="39"/>
      <c r="F105" s="39"/>
      <c r="G105" s="39"/>
      <c r="H105" s="39"/>
      <c r="I105" s="37"/>
      <c r="J105" s="37"/>
      <c r="K105" s="37"/>
      <c r="L105" s="67"/>
      <c r="M105" s="58"/>
      <c r="N105" s="52"/>
      <c r="O105" s="52"/>
      <c r="P105" s="52"/>
      <c r="Q105" s="52"/>
      <c r="R105" s="52"/>
      <c r="S105" s="52"/>
      <c r="T105" s="52"/>
      <c r="U105" s="52"/>
      <c r="V105" s="52"/>
      <c r="W105" s="52"/>
    </row>
    <row r="106" spans="1:23" ht="72.599999999999994" hidden="1" outlineLevel="1" thickBot="1" x14ac:dyDescent="0.35">
      <c r="A106" s="27" t="s">
        <v>63</v>
      </c>
      <c r="B106" s="28" t="s">
        <v>64</v>
      </c>
      <c r="C106" s="23">
        <v>2020</v>
      </c>
      <c r="D106" s="23">
        <v>6</v>
      </c>
      <c r="E106" s="17" t="str">
        <f>E107</f>
        <v>1000</v>
      </c>
      <c r="F106" s="17">
        <f>F107</f>
        <v>15</v>
      </c>
      <c r="G106" s="17">
        <f>G107</f>
        <v>1531.03271</v>
      </c>
      <c r="H106" s="17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1.5310327099999999</v>
      </c>
      <c r="I106" s="23" t="s">
        <v>17</v>
      </c>
      <c r="J106" s="23" t="s">
        <v>17</v>
      </c>
      <c r="K106" s="23" t="s">
        <v>17</v>
      </c>
      <c r="L106" s="24" t="s">
        <v>17</v>
      </c>
      <c r="M106" s="58"/>
      <c r="N106" s="52"/>
      <c r="O106" s="52"/>
      <c r="P106" s="52"/>
      <c r="Q106" s="52"/>
      <c r="R106" s="52"/>
      <c r="S106" s="52"/>
      <c r="T106" s="52"/>
      <c r="U106" s="52"/>
      <c r="V106" s="52"/>
      <c r="W106" s="52"/>
    </row>
    <row r="107" spans="1:23" ht="42" hidden="1" outlineLevel="1" thickBot="1" x14ac:dyDescent="0.35">
      <c r="A107" s="66" t="s">
        <v>63</v>
      </c>
      <c r="B107" s="385" t="s">
        <v>182</v>
      </c>
      <c r="C107" s="180" t="s">
        <v>183</v>
      </c>
      <c r="D107" s="180" t="s">
        <v>56</v>
      </c>
      <c r="E107" s="181" t="s">
        <v>184</v>
      </c>
      <c r="F107" s="182">
        <v>15</v>
      </c>
      <c r="G107" s="177">
        <v>1531.03271</v>
      </c>
      <c r="H107" s="18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1.5310327099999999</v>
      </c>
      <c r="I107" s="178" t="s">
        <v>179</v>
      </c>
      <c r="J107" s="181" t="s">
        <v>180</v>
      </c>
      <c r="K107" s="178" t="s">
        <v>181</v>
      </c>
      <c r="L107" s="184" t="s">
        <v>164</v>
      </c>
      <c r="M107" s="58"/>
      <c r="N107" s="52"/>
      <c r="O107" s="52"/>
      <c r="P107" s="52"/>
      <c r="Q107" s="52"/>
      <c r="R107" s="52"/>
      <c r="S107" s="52"/>
      <c r="T107" s="52"/>
      <c r="U107" s="52"/>
      <c r="V107" s="52"/>
      <c r="W107" s="52"/>
    </row>
    <row r="108" spans="1:23" ht="36.75" customHeight="1" collapsed="1" thickBot="1" x14ac:dyDescent="0.35">
      <c r="A108" s="68" t="s">
        <v>24</v>
      </c>
      <c r="B108" s="69" t="s">
        <v>25</v>
      </c>
      <c r="C108" s="70" t="s">
        <v>17</v>
      </c>
      <c r="D108" s="70" t="s">
        <v>17</v>
      </c>
      <c r="E108" s="71" t="s">
        <v>17</v>
      </c>
      <c r="F108" s="71" t="s">
        <v>17</v>
      </c>
      <c r="G108" s="71" t="s">
        <v>17</v>
      </c>
      <c r="H108" s="71" t="s">
        <v>17</v>
      </c>
      <c r="I108" s="70" t="s">
        <v>17</v>
      </c>
      <c r="J108" s="70" t="s">
        <v>17</v>
      </c>
      <c r="K108" s="70" t="s">
        <v>17</v>
      </c>
      <c r="L108" s="72" t="s">
        <v>17</v>
      </c>
      <c r="M108" s="58"/>
      <c r="N108" s="52"/>
      <c r="O108" s="52"/>
      <c r="P108" s="52"/>
      <c r="Q108" s="52"/>
      <c r="R108" s="52"/>
      <c r="S108" s="52"/>
      <c r="T108" s="52"/>
      <c r="U108" s="52"/>
      <c r="V108" s="52"/>
      <c r="W108" s="52"/>
    </row>
    <row r="109" spans="1:23" ht="72.599999999999994" thickBot="1" x14ac:dyDescent="0.35">
      <c r="A109" s="27" t="s">
        <v>27</v>
      </c>
      <c r="B109" s="28" t="s">
        <v>28</v>
      </c>
      <c r="C109" s="23">
        <v>2020</v>
      </c>
      <c r="D109" s="23">
        <v>0.4</v>
      </c>
      <c r="E109" s="17" t="str">
        <f>E110</f>
        <v>20</v>
      </c>
      <c r="F109" s="17">
        <f>F110</f>
        <v>15</v>
      </c>
      <c r="G109" s="17">
        <f>G110</f>
        <v>45.887839999999997</v>
      </c>
      <c r="H109" s="17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2.2943919999999998</v>
      </c>
      <c r="I109" s="23" t="s">
        <v>17</v>
      </c>
      <c r="J109" s="23" t="s">
        <v>17</v>
      </c>
      <c r="K109" s="23" t="s">
        <v>17</v>
      </c>
      <c r="L109" s="24" t="s">
        <v>17</v>
      </c>
      <c r="M109" s="58"/>
      <c r="N109" s="52"/>
      <c r="O109" s="52"/>
      <c r="P109" s="52"/>
      <c r="Q109" s="52"/>
      <c r="R109" s="52"/>
      <c r="S109" s="52"/>
      <c r="T109" s="52"/>
      <c r="U109" s="52"/>
      <c r="V109" s="52"/>
      <c r="W109" s="52"/>
    </row>
    <row r="110" spans="1:23" ht="42" thickBot="1" x14ac:dyDescent="0.35">
      <c r="A110" s="66" t="s">
        <v>27</v>
      </c>
      <c r="B110" s="185" t="s">
        <v>185</v>
      </c>
      <c r="C110" s="186" t="s">
        <v>183</v>
      </c>
      <c r="D110" s="187" t="s">
        <v>56</v>
      </c>
      <c r="E110" s="187" t="s">
        <v>186</v>
      </c>
      <c r="F110" s="187">
        <v>15</v>
      </c>
      <c r="G110" s="183">
        <v>45.887839999999997</v>
      </c>
      <c r="H110" s="39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2.2943919999999998</v>
      </c>
      <c r="I110" s="178" t="s">
        <v>179</v>
      </c>
      <c r="J110" s="181" t="s">
        <v>180</v>
      </c>
      <c r="K110" s="178" t="s">
        <v>181</v>
      </c>
      <c r="L110" s="188" t="s">
        <v>164</v>
      </c>
      <c r="M110" s="58"/>
      <c r="N110" s="52"/>
      <c r="O110" s="52"/>
      <c r="P110" s="52"/>
      <c r="Q110" s="52"/>
      <c r="R110" s="52"/>
      <c r="S110" s="52"/>
      <c r="T110" s="52"/>
      <c r="U110" s="52"/>
      <c r="V110" s="52"/>
      <c r="W110" s="52"/>
    </row>
    <row r="111" spans="1:23" ht="72.599999999999994" thickBot="1" x14ac:dyDescent="0.35">
      <c r="A111" s="27" t="s">
        <v>65</v>
      </c>
      <c r="B111" s="28" t="s">
        <v>66</v>
      </c>
      <c r="C111" s="23">
        <v>2020</v>
      </c>
      <c r="D111" s="23">
        <v>0.4</v>
      </c>
      <c r="E111" s="17">
        <f>E112</f>
        <v>0</v>
      </c>
      <c r="F111" s="17">
        <f>F112</f>
        <v>0</v>
      </c>
      <c r="G111" s="17">
        <f>G112</f>
        <v>0</v>
      </c>
      <c r="H111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1" s="23" t="s">
        <v>17</v>
      </c>
      <c r="J111" s="23" t="s">
        <v>17</v>
      </c>
      <c r="K111" s="23" t="s">
        <v>17</v>
      </c>
      <c r="L111" s="24" t="s">
        <v>17</v>
      </c>
      <c r="M111" s="58"/>
      <c r="N111" s="52"/>
      <c r="O111" s="52"/>
      <c r="P111" s="52"/>
      <c r="Q111" s="52"/>
      <c r="R111" s="52"/>
      <c r="S111" s="52"/>
      <c r="T111" s="52"/>
      <c r="U111" s="52"/>
      <c r="V111" s="52"/>
      <c r="W111" s="52"/>
    </row>
    <row r="112" spans="1:23" ht="16.2" outlineLevel="2" thickBot="1" x14ac:dyDescent="0.35">
      <c r="A112" s="66" t="s">
        <v>65</v>
      </c>
      <c r="B112" s="38"/>
      <c r="C112" s="37"/>
      <c r="D112" s="37"/>
      <c r="E112" s="39"/>
      <c r="F112" s="39"/>
      <c r="G112" s="39"/>
      <c r="H112" s="39"/>
      <c r="I112" s="37"/>
      <c r="J112" s="37"/>
      <c r="K112" s="37"/>
      <c r="L112" s="67"/>
      <c r="M112" s="58"/>
      <c r="N112" s="52"/>
      <c r="O112" s="52"/>
      <c r="P112" s="52"/>
      <c r="Q112" s="52"/>
      <c r="R112" s="52"/>
      <c r="S112" s="52"/>
      <c r="T112" s="52"/>
      <c r="U112" s="52"/>
      <c r="V112" s="52"/>
      <c r="W112" s="52"/>
    </row>
    <row r="113" spans="1:23" ht="72.599999999999994" thickBot="1" x14ac:dyDescent="0.35">
      <c r="A113" s="27" t="s">
        <v>29</v>
      </c>
      <c r="B113" s="28" t="s">
        <v>30</v>
      </c>
      <c r="C113" s="23">
        <v>2020</v>
      </c>
      <c r="D113" s="23">
        <v>0.4</v>
      </c>
      <c r="E113" s="17">
        <f>SUM(E114:E129)</f>
        <v>0</v>
      </c>
      <c r="F113" s="17">
        <f>SUM(F114:F129)</f>
        <v>0</v>
      </c>
      <c r="G113" s="17">
        <f>SUM(G114:G129)</f>
        <v>0</v>
      </c>
      <c r="H113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3" s="23" t="s">
        <v>17</v>
      </c>
      <c r="J113" s="23" t="s">
        <v>17</v>
      </c>
      <c r="K113" s="23" t="s">
        <v>17</v>
      </c>
      <c r="L113" s="24" t="s">
        <v>17</v>
      </c>
      <c r="M113" s="58"/>
      <c r="N113" s="52"/>
      <c r="O113" s="52"/>
      <c r="P113" s="52"/>
      <c r="Q113" s="52"/>
      <c r="R113" s="52"/>
      <c r="S113" s="52"/>
      <c r="T113" s="52"/>
      <c r="U113" s="52"/>
      <c r="V113" s="52"/>
      <c r="W113" s="52"/>
    </row>
    <row r="114" spans="1:23" hidden="1" outlineLevel="2" x14ac:dyDescent="0.3">
      <c r="A114" s="29" t="s">
        <v>29</v>
      </c>
      <c r="B114" s="30"/>
      <c r="C114" s="25"/>
      <c r="D114" s="25"/>
      <c r="E114" s="18"/>
      <c r="F114" s="18"/>
      <c r="G114" s="18"/>
      <c r="H114" s="18"/>
      <c r="I114" s="25"/>
      <c r="J114" s="25"/>
      <c r="K114" s="25"/>
      <c r="L114" s="26"/>
      <c r="M114" s="58"/>
      <c r="N114" s="52"/>
      <c r="O114" s="52"/>
      <c r="P114" s="52"/>
      <c r="Q114" s="52"/>
      <c r="R114" s="52"/>
      <c r="S114" s="52"/>
      <c r="T114" s="52"/>
      <c r="U114" s="52"/>
      <c r="V114" s="52"/>
      <c r="W114" s="52"/>
    </row>
    <row r="115" spans="1:23" hidden="1" outlineLevel="2" x14ac:dyDescent="0.3">
      <c r="A115" s="11" t="s">
        <v>29</v>
      </c>
      <c r="B115" s="36"/>
      <c r="C115" s="10"/>
      <c r="D115" s="10"/>
      <c r="E115" s="9"/>
      <c r="F115" s="9"/>
      <c r="G115" s="9"/>
      <c r="H115" s="9"/>
      <c r="I115" s="10"/>
      <c r="J115" s="10"/>
      <c r="K115" s="10"/>
      <c r="L115" s="12"/>
      <c r="M115" s="58"/>
      <c r="N115" s="52"/>
      <c r="O115" s="52"/>
      <c r="P115" s="52"/>
      <c r="Q115" s="52"/>
      <c r="R115" s="52"/>
      <c r="S115" s="52"/>
      <c r="T115" s="52"/>
      <c r="U115" s="52"/>
      <c r="V115" s="52"/>
      <c r="W115" s="52"/>
    </row>
    <row r="116" spans="1:23" hidden="1" outlineLevel="2" x14ac:dyDescent="0.3">
      <c r="A116" s="11" t="s">
        <v>29</v>
      </c>
      <c r="B116" s="36"/>
      <c r="C116" s="10"/>
      <c r="D116" s="10"/>
      <c r="E116" s="9"/>
      <c r="F116" s="9"/>
      <c r="G116" s="9"/>
      <c r="H116" s="9"/>
      <c r="I116" s="10"/>
      <c r="J116" s="10"/>
      <c r="K116" s="10"/>
      <c r="L116" s="12"/>
      <c r="M116" s="58"/>
      <c r="N116" s="52"/>
      <c r="O116" s="52"/>
      <c r="P116" s="52"/>
      <c r="Q116" s="52"/>
      <c r="R116" s="52"/>
      <c r="S116" s="52"/>
      <c r="T116" s="52"/>
      <c r="U116" s="52"/>
      <c r="V116" s="52"/>
      <c r="W116" s="52"/>
    </row>
    <row r="117" spans="1:23" hidden="1" outlineLevel="2" x14ac:dyDescent="0.3">
      <c r="A117" s="11" t="s">
        <v>29</v>
      </c>
      <c r="B117" s="36"/>
      <c r="C117" s="10"/>
      <c r="D117" s="10"/>
      <c r="E117" s="9"/>
      <c r="F117" s="9"/>
      <c r="G117" s="9"/>
      <c r="H117" s="9"/>
      <c r="I117" s="10"/>
      <c r="J117" s="10"/>
      <c r="K117" s="10"/>
      <c r="L117" s="12"/>
      <c r="M117" s="58"/>
      <c r="N117" s="52"/>
      <c r="O117" s="52"/>
      <c r="P117" s="52"/>
      <c r="Q117" s="52"/>
      <c r="R117" s="52"/>
      <c r="S117" s="52"/>
      <c r="T117" s="52"/>
      <c r="U117" s="52"/>
      <c r="V117" s="52"/>
      <c r="W117" s="52"/>
    </row>
    <row r="118" spans="1:23" hidden="1" outlineLevel="2" x14ac:dyDescent="0.3">
      <c r="A118" s="11" t="s">
        <v>29</v>
      </c>
      <c r="B118" s="36"/>
      <c r="C118" s="10"/>
      <c r="D118" s="10"/>
      <c r="E118" s="9"/>
      <c r="F118" s="9"/>
      <c r="G118" s="9"/>
      <c r="H118" s="9"/>
      <c r="I118" s="10"/>
      <c r="J118" s="10"/>
      <c r="K118" s="10"/>
      <c r="L118" s="12"/>
      <c r="M118" s="58"/>
      <c r="N118" s="52"/>
      <c r="O118" s="52"/>
      <c r="P118" s="52"/>
      <c r="Q118" s="52"/>
      <c r="R118" s="52"/>
      <c r="S118" s="52"/>
      <c r="T118" s="52"/>
      <c r="U118" s="52"/>
      <c r="V118" s="52"/>
      <c r="W118" s="52"/>
    </row>
    <row r="119" spans="1:23" hidden="1" outlineLevel="2" x14ac:dyDescent="0.3">
      <c r="A119" s="11" t="s">
        <v>29</v>
      </c>
      <c r="B119" s="36"/>
      <c r="C119" s="10"/>
      <c r="D119" s="10"/>
      <c r="E119" s="9"/>
      <c r="F119" s="9"/>
      <c r="G119" s="9"/>
      <c r="H119" s="9"/>
      <c r="I119" s="10"/>
      <c r="J119" s="10"/>
      <c r="K119" s="10"/>
      <c r="L119" s="12"/>
      <c r="M119" s="58"/>
      <c r="N119" s="52"/>
      <c r="O119" s="52"/>
      <c r="P119" s="52"/>
      <c r="Q119" s="52"/>
      <c r="R119" s="52"/>
      <c r="S119" s="52"/>
      <c r="T119" s="52"/>
      <c r="U119" s="52"/>
      <c r="V119" s="52"/>
      <c r="W119" s="52"/>
    </row>
    <row r="120" spans="1:23" hidden="1" outlineLevel="2" x14ac:dyDescent="0.3">
      <c r="A120" s="11" t="s">
        <v>29</v>
      </c>
      <c r="B120" s="36"/>
      <c r="C120" s="10"/>
      <c r="D120" s="10"/>
      <c r="E120" s="9"/>
      <c r="F120" s="9"/>
      <c r="G120" s="9"/>
      <c r="H120" s="9"/>
      <c r="I120" s="10"/>
      <c r="J120" s="10"/>
      <c r="K120" s="10"/>
      <c r="L120" s="12"/>
      <c r="M120" s="58"/>
      <c r="N120" s="52"/>
      <c r="O120" s="52"/>
      <c r="P120" s="52"/>
      <c r="Q120" s="52"/>
      <c r="R120" s="52"/>
      <c r="S120" s="52"/>
      <c r="T120" s="52"/>
      <c r="U120" s="52"/>
      <c r="V120" s="52"/>
      <c r="W120" s="52"/>
    </row>
    <row r="121" spans="1:23" hidden="1" outlineLevel="2" x14ac:dyDescent="0.3">
      <c r="A121" s="11" t="s">
        <v>29</v>
      </c>
      <c r="B121" s="36"/>
      <c r="C121" s="10"/>
      <c r="D121" s="10"/>
      <c r="E121" s="9"/>
      <c r="F121" s="9"/>
      <c r="G121" s="9"/>
      <c r="H121" s="9"/>
      <c r="I121" s="10"/>
      <c r="J121" s="10"/>
      <c r="K121" s="10"/>
      <c r="L121" s="12"/>
      <c r="M121" s="58"/>
      <c r="N121" s="52"/>
      <c r="O121" s="52"/>
      <c r="P121" s="52"/>
      <c r="Q121" s="52"/>
      <c r="R121" s="52"/>
      <c r="S121" s="52"/>
      <c r="T121" s="52"/>
      <c r="U121" s="52"/>
      <c r="V121" s="52"/>
      <c r="W121" s="52"/>
    </row>
    <row r="122" spans="1:23" hidden="1" outlineLevel="2" x14ac:dyDescent="0.3">
      <c r="A122" s="11" t="s">
        <v>29</v>
      </c>
      <c r="B122" s="36"/>
      <c r="C122" s="10"/>
      <c r="D122" s="10"/>
      <c r="E122" s="9"/>
      <c r="F122" s="9"/>
      <c r="G122" s="9"/>
      <c r="H122" s="9"/>
      <c r="I122" s="10"/>
      <c r="J122" s="10"/>
      <c r="K122" s="10"/>
      <c r="L122" s="12"/>
      <c r="M122" s="58"/>
      <c r="N122" s="52"/>
      <c r="O122" s="52"/>
      <c r="P122" s="52"/>
      <c r="Q122" s="52"/>
      <c r="R122" s="52"/>
      <c r="S122" s="52"/>
      <c r="T122" s="52"/>
      <c r="U122" s="52"/>
      <c r="V122" s="52"/>
      <c r="W122" s="52"/>
    </row>
    <row r="123" spans="1:23" hidden="1" outlineLevel="2" x14ac:dyDescent="0.3">
      <c r="A123" s="11" t="s">
        <v>29</v>
      </c>
      <c r="B123" s="36"/>
      <c r="C123" s="10"/>
      <c r="D123" s="10"/>
      <c r="E123" s="9"/>
      <c r="F123" s="9"/>
      <c r="G123" s="9"/>
      <c r="H123" s="9"/>
      <c r="I123" s="10"/>
      <c r="J123" s="10"/>
      <c r="K123" s="10"/>
      <c r="L123" s="12"/>
      <c r="M123" s="58"/>
      <c r="N123" s="52"/>
      <c r="O123" s="52"/>
      <c r="P123" s="52"/>
      <c r="Q123" s="52"/>
      <c r="R123" s="52"/>
      <c r="S123" s="52"/>
      <c r="T123" s="52"/>
      <c r="U123" s="52"/>
      <c r="V123" s="52"/>
      <c r="W123" s="52"/>
    </row>
    <row r="124" spans="1:23" hidden="1" outlineLevel="2" x14ac:dyDescent="0.3">
      <c r="A124" s="11" t="s">
        <v>29</v>
      </c>
      <c r="B124" s="36"/>
      <c r="C124" s="10"/>
      <c r="D124" s="10"/>
      <c r="E124" s="9"/>
      <c r="F124" s="9"/>
      <c r="G124" s="9"/>
      <c r="H124" s="9"/>
      <c r="I124" s="10"/>
      <c r="J124" s="10"/>
      <c r="K124" s="10"/>
      <c r="L124" s="12"/>
      <c r="M124" s="58"/>
      <c r="N124" s="52"/>
      <c r="O124" s="52"/>
      <c r="P124" s="52"/>
      <c r="Q124" s="52"/>
      <c r="R124" s="52"/>
      <c r="S124" s="52"/>
      <c r="T124" s="52"/>
      <c r="U124" s="52"/>
      <c r="V124" s="52"/>
      <c r="W124" s="52"/>
    </row>
    <row r="125" spans="1:23" hidden="1" outlineLevel="2" x14ac:dyDescent="0.3">
      <c r="A125" s="11" t="s">
        <v>29</v>
      </c>
      <c r="B125" s="36"/>
      <c r="C125" s="10"/>
      <c r="D125" s="10"/>
      <c r="E125" s="9"/>
      <c r="F125" s="9"/>
      <c r="G125" s="9"/>
      <c r="H125" s="9"/>
      <c r="I125" s="10"/>
      <c r="J125" s="10"/>
      <c r="K125" s="10"/>
      <c r="L125" s="12"/>
      <c r="M125" s="58"/>
      <c r="N125" s="52"/>
      <c r="O125" s="52"/>
      <c r="P125" s="52"/>
      <c r="Q125" s="52"/>
      <c r="R125" s="52"/>
      <c r="S125" s="52"/>
      <c r="T125" s="52"/>
      <c r="U125" s="52"/>
      <c r="V125" s="52"/>
      <c r="W125" s="52"/>
    </row>
    <row r="126" spans="1:23" hidden="1" outlineLevel="2" x14ac:dyDescent="0.3">
      <c r="A126" s="11" t="s">
        <v>29</v>
      </c>
      <c r="B126" s="36"/>
      <c r="C126" s="10"/>
      <c r="D126" s="10"/>
      <c r="E126" s="9"/>
      <c r="F126" s="9"/>
      <c r="G126" s="9"/>
      <c r="H126" s="9"/>
      <c r="I126" s="10"/>
      <c r="J126" s="10"/>
      <c r="K126" s="10"/>
      <c r="L126" s="12"/>
      <c r="M126" s="58"/>
      <c r="N126" s="52"/>
      <c r="O126" s="52"/>
      <c r="P126" s="52"/>
      <c r="Q126" s="52"/>
      <c r="R126" s="52"/>
      <c r="S126" s="52"/>
      <c r="T126" s="52"/>
      <c r="U126" s="52"/>
      <c r="V126" s="52"/>
      <c r="W126" s="52"/>
    </row>
    <row r="127" spans="1:23" hidden="1" outlineLevel="2" x14ac:dyDescent="0.3">
      <c r="A127" s="11" t="s">
        <v>29</v>
      </c>
      <c r="B127" s="36"/>
      <c r="C127" s="10"/>
      <c r="D127" s="10"/>
      <c r="E127" s="9"/>
      <c r="F127" s="9"/>
      <c r="G127" s="9"/>
      <c r="H127" s="9"/>
      <c r="I127" s="10"/>
      <c r="J127" s="10"/>
      <c r="K127" s="10"/>
      <c r="L127" s="12"/>
      <c r="M127" s="58"/>
      <c r="N127" s="52"/>
      <c r="O127" s="52"/>
      <c r="P127" s="52"/>
      <c r="Q127" s="52"/>
      <c r="R127" s="52"/>
      <c r="S127" s="52"/>
      <c r="T127" s="52"/>
      <c r="U127" s="52"/>
      <c r="V127" s="52"/>
      <c r="W127" s="52"/>
    </row>
    <row r="128" spans="1:23" hidden="1" outlineLevel="2" x14ac:dyDescent="0.3">
      <c r="A128" s="11" t="s">
        <v>29</v>
      </c>
      <c r="B128" s="36"/>
      <c r="C128" s="10"/>
      <c r="D128" s="10"/>
      <c r="E128" s="9"/>
      <c r="F128" s="9"/>
      <c r="G128" s="9"/>
      <c r="H128" s="9"/>
      <c r="I128" s="10"/>
      <c r="J128" s="10"/>
      <c r="K128" s="10"/>
      <c r="L128" s="12"/>
      <c r="M128" s="58"/>
      <c r="N128" s="52"/>
      <c r="O128" s="52"/>
      <c r="P128" s="52"/>
      <c r="Q128" s="52"/>
      <c r="R128" s="52"/>
      <c r="S128" s="52"/>
      <c r="T128" s="52"/>
      <c r="U128" s="52"/>
      <c r="V128" s="52"/>
      <c r="W128" s="52"/>
    </row>
    <row r="129" spans="1:23" ht="16.2" hidden="1" outlineLevel="2" thickBot="1" x14ac:dyDescent="0.35">
      <c r="A129" s="13" t="s">
        <v>29</v>
      </c>
      <c r="B129" s="40"/>
      <c r="C129" s="15"/>
      <c r="D129" s="15"/>
      <c r="E129" s="14"/>
      <c r="F129" s="14"/>
      <c r="G129" s="14"/>
      <c r="H129" s="14"/>
      <c r="I129" s="15"/>
      <c r="J129" s="15"/>
      <c r="K129" s="15"/>
      <c r="L129" s="16"/>
      <c r="M129" s="58"/>
      <c r="N129" s="52"/>
      <c r="O129" s="52"/>
      <c r="P129" s="52"/>
      <c r="Q129" s="52"/>
      <c r="R129" s="52"/>
      <c r="S129" s="52"/>
      <c r="T129" s="52"/>
      <c r="U129" s="52"/>
      <c r="V129" s="52"/>
      <c r="W129" s="52"/>
    </row>
    <row r="130" spans="1:23" ht="72.599999999999994" hidden="1" outlineLevel="2" thickBot="1" x14ac:dyDescent="0.35">
      <c r="A130" s="27" t="s">
        <v>31</v>
      </c>
      <c r="B130" s="28" t="s">
        <v>32</v>
      </c>
      <c r="C130" s="23">
        <v>2020</v>
      </c>
      <c r="D130" s="23">
        <v>0.4</v>
      </c>
      <c r="E130" s="17">
        <f>SUM(E131:E132)</f>
        <v>0</v>
      </c>
      <c r="F130" s="17">
        <f>SUM(F131:F132)</f>
        <v>0</v>
      </c>
      <c r="G130" s="17">
        <f>SUM(G131:G132)</f>
        <v>0</v>
      </c>
      <c r="H130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0" s="23" t="s">
        <v>17</v>
      </c>
      <c r="J130" s="23" t="s">
        <v>17</v>
      </c>
      <c r="K130" s="23" t="s">
        <v>17</v>
      </c>
      <c r="L130" s="24" t="s">
        <v>17</v>
      </c>
      <c r="M130" s="58"/>
      <c r="N130" s="52"/>
      <c r="O130" s="52"/>
      <c r="P130" s="52"/>
      <c r="Q130" s="52"/>
      <c r="R130" s="52"/>
      <c r="S130" s="52"/>
      <c r="T130" s="52"/>
      <c r="U130" s="52"/>
      <c r="V130" s="52"/>
      <c r="W130" s="52"/>
    </row>
    <row r="131" spans="1:23" hidden="1" outlineLevel="2" x14ac:dyDescent="0.3">
      <c r="A131" s="29" t="s">
        <v>31</v>
      </c>
      <c r="B131" s="30"/>
      <c r="C131" s="25"/>
      <c r="D131" s="25"/>
      <c r="E131" s="18"/>
      <c r="F131" s="18"/>
      <c r="G131" s="18"/>
      <c r="H131" s="18"/>
      <c r="I131" s="25"/>
      <c r="J131" s="25"/>
      <c r="K131" s="25"/>
      <c r="L131" s="26"/>
      <c r="M131" s="58"/>
      <c r="N131" s="52"/>
      <c r="O131" s="52"/>
      <c r="P131" s="52"/>
      <c r="Q131" s="52"/>
      <c r="R131" s="52"/>
      <c r="S131" s="52"/>
      <c r="T131" s="52"/>
      <c r="U131" s="52"/>
      <c r="V131" s="52"/>
      <c r="W131" s="52"/>
    </row>
    <row r="132" spans="1:23" ht="16.2" hidden="1" outlineLevel="2" thickBot="1" x14ac:dyDescent="0.35">
      <c r="A132" s="13" t="s">
        <v>31</v>
      </c>
      <c r="B132" s="40"/>
      <c r="C132" s="15"/>
      <c r="D132" s="15"/>
      <c r="E132" s="14"/>
      <c r="F132" s="14"/>
      <c r="G132" s="14"/>
      <c r="H132" s="14"/>
      <c r="I132" s="15"/>
      <c r="J132" s="15"/>
      <c r="K132" s="15"/>
      <c r="L132" s="16"/>
      <c r="M132" s="58"/>
      <c r="N132" s="52"/>
      <c r="O132" s="52"/>
      <c r="P132" s="52"/>
      <c r="Q132" s="52"/>
      <c r="R132" s="52"/>
      <c r="S132" s="52"/>
      <c r="T132" s="52"/>
      <c r="U132" s="52"/>
      <c r="V132" s="52"/>
      <c r="W132" s="52"/>
    </row>
    <row r="133" spans="1:23" ht="72.599999999999994" hidden="1" outlineLevel="2" thickBot="1" x14ac:dyDescent="0.35">
      <c r="A133" s="27" t="s">
        <v>33</v>
      </c>
      <c r="B133" s="28" t="s">
        <v>34</v>
      </c>
      <c r="C133" s="23">
        <v>2020</v>
      </c>
      <c r="D133" s="23">
        <v>6</v>
      </c>
      <c r="E133" s="17">
        <f>SUM(E134:E135)</f>
        <v>0</v>
      </c>
      <c r="F133" s="17">
        <f>SUM(F134:F135)</f>
        <v>0</v>
      </c>
      <c r="G133" s="17">
        <f>SUM(G134:G135)</f>
        <v>0</v>
      </c>
      <c r="H133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3" s="23" t="s">
        <v>17</v>
      </c>
      <c r="J133" s="23" t="s">
        <v>17</v>
      </c>
      <c r="K133" s="23" t="s">
        <v>17</v>
      </c>
      <c r="L133" s="24" t="s">
        <v>17</v>
      </c>
      <c r="M133" s="58"/>
      <c r="N133" s="52"/>
      <c r="O133" s="52"/>
      <c r="P133" s="52"/>
      <c r="Q133" s="52"/>
      <c r="R133" s="52"/>
      <c r="S133" s="52"/>
      <c r="T133" s="52"/>
      <c r="U133" s="52"/>
      <c r="V133" s="52"/>
      <c r="W133" s="52"/>
    </row>
    <row r="134" spans="1:23" hidden="1" outlineLevel="2" x14ac:dyDescent="0.3">
      <c r="A134" s="29" t="s">
        <v>33</v>
      </c>
      <c r="B134" s="30"/>
      <c r="C134" s="25"/>
      <c r="D134" s="25"/>
      <c r="E134" s="18"/>
      <c r="F134" s="18"/>
      <c r="G134" s="18"/>
      <c r="H134" s="18"/>
      <c r="I134" s="25"/>
      <c r="J134" s="25"/>
      <c r="K134" s="25"/>
      <c r="L134" s="26"/>
      <c r="M134" s="58"/>
      <c r="N134" s="52"/>
      <c r="O134" s="52"/>
      <c r="P134" s="52"/>
      <c r="Q134" s="52"/>
      <c r="R134" s="52"/>
      <c r="S134" s="52"/>
      <c r="T134" s="52"/>
      <c r="U134" s="52"/>
      <c r="V134" s="52"/>
      <c r="W134" s="52"/>
    </row>
    <row r="135" spans="1:23" ht="16.2" hidden="1" outlineLevel="2" thickBot="1" x14ac:dyDescent="0.35">
      <c r="A135" s="13" t="s">
        <v>33</v>
      </c>
      <c r="B135" s="40"/>
      <c r="C135" s="15"/>
      <c r="D135" s="15"/>
      <c r="E135" s="14"/>
      <c r="F135" s="14"/>
      <c r="G135" s="14"/>
      <c r="H135" s="14"/>
      <c r="I135" s="15"/>
      <c r="J135" s="15"/>
      <c r="K135" s="15"/>
      <c r="L135" s="16"/>
      <c r="M135" s="58"/>
      <c r="N135" s="52"/>
      <c r="O135" s="52"/>
      <c r="P135" s="52"/>
      <c r="Q135" s="52"/>
      <c r="R135" s="52"/>
      <c r="S135" s="52"/>
      <c r="T135" s="52"/>
      <c r="U135" s="52"/>
      <c r="V135" s="52"/>
      <c r="W135" s="52"/>
    </row>
    <row r="136" spans="1:23" ht="72.599999999999994" hidden="1" outlineLevel="2" thickBot="1" x14ac:dyDescent="0.35">
      <c r="A136" s="27" t="s">
        <v>35</v>
      </c>
      <c r="B136" s="28" t="s">
        <v>36</v>
      </c>
      <c r="C136" s="23">
        <v>2020</v>
      </c>
      <c r="D136" s="23">
        <v>6</v>
      </c>
      <c r="E136" s="17">
        <f>SUM(E137:E138)</f>
        <v>0</v>
      </c>
      <c r="F136" s="17">
        <f>SUM(F137:F138)</f>
        <v>0</v>
      </c>
      <c r="G136" s="17">
        <f>SUM(G137:G138)</f>
        <v>0</v>
      </c>
      <c r="H136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6" s="23" t="s">
        <v>17</v>
      </c>
      <c r="J136" s="23" t="s">
        <v>17</v>
      </c>
      <c r="K136" s="23" t="s">
        <v>17</v>
      </c>
      <c r="L136" s="24" t="s">
        <v>17</v>
      </c>
      <c r="M136" s="58"/>
      <c r="N136" s="52"/>
      <c r="O136" s="52"/>
      <c r="P136" s="52"/>
      <c r="Q136" s="52"/>
      <c r="R136" s="52"/>
      <c r="S136" s="52"/>
      <c r="T136" s="52"/>
      <c r="U136" s="52"/>
      <c r="V136" s="52"/>
      <c r="W136" s="52"/>
    </row>
    <row r="137" spans="1:23" hidden="1" outlineLevel="2" x14ac:dyDescent="0.3">
      <c r="A137" s="29" t="s">
        <v>35</v>
      </c>
      <c r="B137" s="30"/>
      <c r="C137" s="25"/>
      <c r="D137" s="25"/>
      <c r="E137" s="18"/>
      <c r="F137" s="18"/>
      <c r="G137" s="18"/>
      <c r="H137" s="18"/>
      <c r="I137" s="25"/>
      <c r="J137" s="25"/>
      <c r="K137" s="25"/>
      <c r="L137" s="26"/>
      <c r="M137" s="58"/>
      <c r="N137" s="52"/>
      <c r="O137" s="52"/>
      <c r="P137" s="52"/>
      <c r="Q137" s="52"/>
      <c r="R137" s="52"/>
      <c r="S137" s="52"/>
      <c r="T137" s="52"/>
      <c r="U137" s="52"/>
      <c r="V137" s="52"/>
      <c r="W137" s="52"/>
    </row>
    <row r="138" spans="1:23" ht="16.2" hidden="1" outlineLevel="2" thickBot="1" x14ac:dyDescent="0.35">
      <c r="A138" s="13" t="s">
        <v>35</v>
      </c>
      <c r="B138" s="40"/>
      <c r="C138" s="15"/>
      <c r="D138" s="15"/>
      <c r="E138" s="14"/>
      <c r="F138" s="14"/>
      <c r="G138" s="14"/>
      <c r="H138" s="14"/>
      <c r="I138" s="15"/>
      <c r="J138" s="15"/>
      <c r="K138" s="15"/>
      <c r="L138" s="16"/>
      <c r="M138" s="58"/>
      <c r="N138" s="52"/>
      <c r="O138" s="52"/>
      <c r="P138" s="52"/>
      <c r="Q138" s="52"/>
      <c r="R138" s="52"/>
      <c r="S138" s="52"/>
      <c r="T138" s="52"/>
      <c r="U138" s="52"/>
      <c r="V138" s="52"/>
      <c r="W138" s="52"/>
    </row>
    <row r="139" spans="1:23" ht="90.6" hidden="1" outlineLevel="2" thickBot="1" x14ac:dyDescent="0.35">
      <c r="A139" s="27" t="s">
        <v>67</v>
      </c>
      <c r="B139" s="28" t="s">
        <v>68</v>
      </c>
      <c r="C139" s="23">
        <v>2020</v>
      </c>
      <c r="D139" s="23">
        <v>6</v>
      </c>
      <c r="E139" s="17">
        <f>E140</f>
        <v>0</v>
      </c>
      <c r="F139" s="17">
        <f>F140</f>
        <v>0</v>
      </c>
      <c r="G139" s="17">
        <f>G140</f>
        <v>0</v>
      </c>
      <c r="H139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9" s="23" t="s">
        <v>17</v>
      </c>
      <c r="J139" s="23" t="s">
        <v>17</v>
      </c>
      <c r="K139" s="23" t="s">
        <v>17</v>
      </c>
      <c r="L139" s="24" t="s">
        <v>17</v>
      </c>
      <c r="M139" s="58"/>
      <c r="N139" s="52"/>
      <c r="O139" s="52"/>
      <c r="P139" s="52"/>
      <c r="Q139" s="52"/>
      <c r="R139" s="52"/>
      <c r="S139" s="52"/>
      <c r="T139" s="52"/>
      <c r="U139" s="52"/>
      <c r="V139" s="52"/>
      <c r="W139" s="52"/>
    </row>
    <row r="140" spans="1:23" ht="16.2" hidden="1" outlineLevel="2" thickBot="1" x14ac:dyDescent="0.35">
      <c r="A140" s="29" t="s">
        <v>67</v>
      </c>
      <c r="B140" s="30"/>
      <c r="C140" s="25"/>
      <c r="D140" s="25"/>
      <c r="E140" s="18"/>
      <c r="F140" s="18"/>
      <c r="G140" s="18"/>
      <c r="H140" s="18"/>
      <c r="I140" s="25"/>
      <c r="J140" s="25"/>
      <c r="K140" s="25"/>
      <c r="L140" s="26"/>
      <c r="M140" s="58"/>
      <c r="N140" s="52"/>
      <c r="O140" s="52"/>
      <c r="P140" s="52"/>
      <c r="Q140" s="52"/>
      <c r="R140" s="52"/>
      <c r="S140" s="52"/>
      <c r="T140" s="52"/>
      <c r="U140" s="52"/>
      <c r="V140" s="52"/>
      <c r="W140" s="52"/>
    </row>
    <row r="141" spans="1:23" ht="72.599999999999994" hidden="1" outlineLevel="2" thickBot="1" x14ac:dyDescent="0.35">
      <c r="A141" s="73" t="s">
        <v>59</v>
      </c>
      <c r="B141" s="46" t="s">
        <v>69</v>
      </c>
      <c r="C141" s="45">
        <v>2020</v>
      </c>
      <c r="D141" s="45">
        <v>6</v>
      </c>
      <c r="E141" s="22">
        <f>SUM(E142:E143)</f>
        <v>0</v>
      </c>
      <c r="F141" s="22">
        <f>SUM(F142:F143)</f>
        <v>0</v>
      </c>
      <c r="G141" s="22">
        <f>SUM(G142:G143)</f>
        <v>0</v>
      </c>
      <c r="H141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1" s="23" t="s">
        <v>17</v>
      </c>
      <c r="J141" s="23" t="s">
        <v>17</v>
      </c>
      <c r="K141" s="23" t="s">
        <v>17</v>
      </c>
      <c r="L141" s="24" t="s">
        <v>17</v>
      </c>
      <c r="M141" s="58"/>
      <c r="N141" s="52"/>
      <c r="O141" s="52"/>
      <c r="P141" s="52"/>
      <c r="Q141" s="52"/>
      <c r="R141" s="52"/>
      <c r="S141" s="52"/>
      <c r="T141" s="52"/>
      <c r="U141" s="52"/>
      <c r="V141" s="52"/>
      <c r="W141" s="52"/>
    </row>
    <row r="142" spans="1:23" hidden="1" outlineLevel="2" x14ac:dyDescent="0.3">
      <c r="A142" s="11" t="s">
        <v>59</v>
      </c>
      <c r="B142" s="36"/>
      <c r="C142" s="10"/>
      <c r="D142" s="10"/>
      <c r="E142" s="9"/>
      <c r="F142" s="9"/>
      <c r="G142" s="9"/>
      <c r="H142" s="9"/>
      <c r="I142" s="10"/>
      <c r="J142" s="10"/>
      <c r="K142" s="10"/>
      <c r="L142" s="12"/>
      <c r="M142" s="58"/>
      <c r="N142" s="52"/>
      <c r="O142" s="52"/>
      <c r="P142" s="52"/>
      <c r="Q142" s="52"/>
      <c r="R142" s="52"/>
      <c r="S142" s="52"/>
      <c r="T142" s="52"/>
      <c r="U142" s="52"/>
      <c r="V142" s="52"/>
      <c r="W142" s="52"/>
    </row>
    <row r="143" spans="1:23" ht="16.2" hidden="1" outlineLevel="2" thickBot="1" x14ac:dyDescent="0.35">
      <c r="A143" s="13" t="s">
        <v>59</v>
      </c>
      <c r="B143" s="40"/>
      <c r="C143" s="15"/>
      <c r="D143" s="15"/>
      <c r="E143" s="14"/>
      <c r="F143" s="14"/>
      <c r="G143" s="14"/>
      <c r="H143" s="14"/>
      <c r="I143" s="15"/>
      <c r="J143" s="15"/>
      <c r="K143" s="15"/>
      <c r="L143" s="16"/>
      <c r="M143" s="58"/>
      <c r="N143" s="52"/>
      <c r="O143" s="52"/>
      <c r="P143" s="52"/>
      <c r="Q143" s="52"/>
      <c r="R143" s="52"/>
      <c r="S143" s="52"/>
      <c r="T143" s="52"/>
      <c r="U143" s="52"/>
      <c r="V143" s="52"/>
      <c r="W143" s="52"/>
    </row>
    <row r="144" spans="1:23" ht="72.599999999999994" hidden="1" outlineLevel="2" thickBot="1" x14ac:dyDescent="0.35">
      <c r="A144" s="27" t="s">
        <v>57</v>
      </c>
      <c r="B144" s="28" t="s">
        <v>70</v>
      </c>
      <c r="C144" s="23">
        <v>2020</v>
      </c>
      <c r="D144" s="23">
        <v>6</v>
      </c>
      <c r="E144" s="17">
        <f>SUM(E145:E146)</f>
        <v>0</v>
      </c>
      <c r="F144" s="17">
        <f>SUM(F145:F146)</f>
        <v>0</v>
      </c>
      <c r="G144" s="17">
        <f>SUM(G145:G146)</f>
        <v>0</v>
      </c>
      <c r="H144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4" s="23" t="s">
        <v>17</v>
      </c>
      <c r="J144" s="23" t="s">
        <v>17</v>
      </c>
      <c r="K144" s="23" t="s">
        <v>17</v>
      </c>
      <c r="L144" s="24" t="s">
        <v>17</v>
      </c>
      <c r="M144" s="58"/>
      <c r="N144" s="52"/>
      <c r="O144" s="52"/>
      <c r="P144" s="52"/>
      <c r="Q144" s="52"/>
      <c r="R144" s="52"/>
      <c r="S144" s="52"/>
      <c r="T144" s="52"/>
      <c r="U144" s="52"/>
      <c r="V144" s="52"/>
      <c r="W144" s="52"/>
    </row>
    <row r="145" spans="1:23" hidden="1" outlineLevel="2" x14ac:dyDescent="0.3">
      <c r="A145" s="29" t="s">
        <v>57</v>
      </c>
      <c r="B145" s="30"/>
      <c r="C145" s="25"/>
      <c r="D145" s="25"/>
      <c r="E145" s="18"/>
      <c r="F145" s="18"/>
      <c r="G145" s="18"/>
      <c r="H145" s="18"/>
      <c r="I145" s="25"/>
      <c r="J145" s="25"/>
      <c r="K145" s="25"/>
      <c r="L145" s="26"/>
      <c r="M145" s="58"/>
      <c r="N145" s="52"/>
      <c r="O145" s="52"/>
      <c r="P145" s="52"/>
      <c r="Q145" s="52"/>
      <c r="R145" s="52"/>
      <c r="S145" s="52"/>
      <c r="T145" s="52"/>
      <c r="U145" s="52"/>
      <c r="V145" s="52"/>
      <c r="W145" s="52"/>
    </row>
    <row r="146" spans="1:23" ht="16.2" hidden="1" outlineLevel="2" thickBot="1" x14ac:dyDescent="0.35">
      <c r="A146" s="13" t="s">
        <v>57</v>
      </c>
      <c r="B146" s="40"/>
      <c r="C146" s="15"/>
      <c r="D146" s="15"/>
      <c r="E146" s="14"/>
      <c r="F146" s="14"/>
      <c r="G146" s="14"/>
      <c r="H146" s="14"/>
      <c r="I146" s="15"/>
      <c r="J146" s="15"/>
      <c r="K146" s="15"/>
      <c r="L146" s="16"/>
      <c r="M146" s="58"/>
      <c r="N146" s="52"/>
      <c r="O146" s="52"/>
      <c r="P146" s="52"/>
      <c r="Q146" s="52"/>
      <c r="R146" s="52"/>
      <c r="S146" s="52"/>
      <c r="T146" s="52"/>
      <c r="U146" s="52"/>
      <c r="V146" s="52"/>
      <c r="W146" s="52"/>
    </row>
    <row r="147" spans="1:23" ht="108.6" hidden="1" outlineLevel="2" thickBot="1" x14ac:dyDescent="0.35">
      <c r="A147" s="27" t="s">
        <v>37</v>
      </c>
      <c r="B147" s="28" t="s">
        <v>38</v>
      </c>
      <c r="C147" s="23">
        <v>2020</v>
      </c>
      <c r="D147" s="23">
        <v>0.4</v>
      </c>
      <c r="E147" s="17">
        <f>SUM(E148:E149)</f>
        <v>0</v>
      </c>
      <c r="F147" s="17">
        <f>SUM(F148:F149)</f>
        <v>0</v>
      </c>
      <c r="G147" s="17">
        <f>SUM(G148:G149)</f>
        <v>0</v>
      </c>
      <c r="H147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7" s="23" t="s">
        <v>17</v>
      </c>
      <c r="J147" s="23" t="s">
        <v>17</v>
      </c>
      <c r="K147" s="23" t="s">
        <v>17</v>
      </c>
      <c r="L147" s="24" t="s">
        <v>17</v>
      </c>
      <c r="M147" s="58"/>
      <c r="N147" s="52"/>
      <c r="O147" s="52"/>
      <c r="P147" s="52"/>
      <c r="Q147" s="52"/>
      <c r="R147" s="52"/>
      <c r="S147" s="52"/>
      <c r="T147" s="52"/>
      <c r="U147" s="52"/>
      <c r="V147" s="52"/>
      <c r="W147" s="52"/>
    </row>
    <row r="148" spans="1:23" hidden="1" outlineLevel="2" x14ac:dyDescent="0.3">
      <c r="A148" s="29" t="s">
        <v>37</v>
      </c>
      <c r="B148" s="30"/>
      <c r="C148" s="25"/>
      <c r="D148" s="25"/>
      <c r="E148" s="18"/>
      <c r="F148" s="18"/>
      <c r="G148" s="18"/>
      <c r="H148" s="18"/>
      <c r="I148" s="25"/>
      <c r="J148" s="25"/>
      <c r="K148" s="25"/>
      <c r="L148" s="26"/>
      <c r="M148" s="58"/>
      <c r="N148" s="52"/>
      <c r="O148" s="52"/>
      <c r="P148" s="52"/>
      <c r="Q148" s="52"/>
      <c r="R148" s="52"/>
      <c r="S148" s="52"/>
      <c r="T148" s="52"/>
      <c r="U148" s="52"/>
      <c r="V148" s="52"/>
      <c r="W148" s="52"/>
    </row>
    <row r="149" spans="1:23" ht="16.2" hidden="1" outlineLevel="2" thickBot="1" x14ac:dyDescent="0.35">
      <c r="A149" s="13" t="s">
        <v>37</v>
      </c>
      <c r="B149" s="40"/>
      <c r="C149" s="15"/>
      <c r="D149" s="15"/>
      <c r="E149" s="14"/>
      <c r="F149" s="14"/>
      <c r="G149" s="14"/>
      <c r="H149" s="14"/>
      <c r="I149" s="15"/>
      <c r="J149" s="15"/>
      <c r="K149" s="15"/>
      <c r="L149" s="16"/>
      <c r="M149" s="58"/>
      <c r="N149" s="52"/>
      <c r="O149" s="52"/>
      <c r="P149" s="52"/>
      <c r="Q149" s="52"/>
      <c r="R149" s="52"/>
      <c r="S149" s="52"/>
      <c r="T149" s="52"/>
      <c r="U149" s="52"/>
      <c r="V149" s="52"/>
      <c r="W149" s="52"/>
    </row>
    <row r="150" spans="1:23" ht="108.6" hidden="1" outlineLevel="2" thickBot="1" x14ac:dyDescent="0.35">
      <c r="A150" s="27" t="s">
        <v>39</v>
      </c>
      <c r="B150" s="28" t="s">
        <v>40</v>
      </c>
      <c r="C150" s="23">
        <v>2020</v>
      </c>
      <c r="D150" s="23">
        <v>0.4</v>
      </c>
      <c r="E150" s="17">
        <f>E151</f>
        <v>0</v>
      </c>
      <c r="F150" s="17">
        <f>F151</f>
        <v>0</v>
      </c>
      <c r="G150" s="17">
        <f>G151</f>
        <v>0</v>
      </c>
      <c r="H150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0" s="23" t="s">
        <v>17</v>
      </c>
      <c r="J150" s="23" t="s">
        <v>17</v>
      </c>
      <c r="K150" s="23" t="s">
        <v>17</v>
      </c>
      <c r="L150" s="24" t="s">
        <v>17</v>
      </c>
      <c r="M150" s="58"/>
      <c r="N150" s="52"/>
      <c r="O150" s="52"/>
      <c r="P150" s="52"/>
      <c r="Q150" s="52"/>
      <c r="R150" s="52"/>
      <c r="S150" s="52"/>
      <c r="T150" s="52"/>
      <c r="U150" s="52"/>
      <c r="V150" s="52"/>
      <c r="W150" s="52"/>
    </row>
    <row r="151" spans="1:23" ht="16.2" hidden="1" outlineLevel="2" thickBot="1" x14ac:dyDescent="0.35">
      <c r="A151" s="66" t="s">
        <v>39</v>
      </c>
      <c r="B151" s="38"/>
      <c r="C151" s="37"/>
      <c r="D151" s="37"/>
      <c r="E151" s="39"/>
      <c r="F151" s="39"/>
      <c r="G151" s="39"/>
      <c r="H151" s="39"/>
      <c r="I151" s="37"/>
      <c r="J151" s="37"/>
      <c r="K151" s="37"/>
      <c r="L151" s="67"/>
      <c r="M151" s="58"/>
      <c r="N151" s="52"/>
      <c r="O151" s="52"/>
      <c r="P151" s="52"/>
      <c r="Q151" s="52"/>
      <c r="R151" s="52"/>
      <c r="S151" s="52"/>
      <c r="T151" s="52"/>
      <c r="U151" s="52"/>
      <c r="V151" s="52"/>
      <c r="W151" s="52"/>
    </row>
    <row r="152" spans="1:23" ht="90.6" hidden="1" outlineLevel="2" thickBot="1" x14ac:dyDescent="0.35">
      <c r="A152" s="27" t="s">
        <v>41</v>
      </c>
      <c r="B152" s="28" t="s">
        <v>42</v>
      </c>
      <c r="C152" s="23">
        <v>2020</v>
      </c>
      <c r="D152" s="23">
        <v>6</v>
      </c>
      <c r="E152" s="17">
        <f>E153</f>
        <v>0</v>
      </c>
      <c r="F152" s="17">
        <f>F153</f>
        <v>0</v>
      </c>
      <c r="G152" s="17">
        <f>G153</f>
        <v>0</v>
      </c>
      <c r="H152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2" s="23" t="s">
        <v>17</v>
      </c>
      <c r="J152" s="23" t="s">
        <v>17</v>
      </c>
      <c r="K152" s="23" t="s">
        <v>17</v>
      </c>
      <c r="L152" s="24" t="s">
        <v>17</v>
      </c>
      <c r="M152" s="58"/>
      <c r="N152" s="52"/>
      <c r="O152" s="52"/>
      <c r="P152" s="52"/>
      <c r="Q152" s="52"/>
      <c r="R152" s="52"/>
      <c r="S152" s="52"/>
      <c r="T152" s="52"/>
      <c r="U152" s="52"/>
      <c r="V152" s="52"/>
      <c r="W152" s="52"/>
    </row>
    <row r="153" spans="1:23" ht="16.2" hidden="1" outlineLevel="2" thickBot="1" x14ac:dyDescent="0.35">
      <c r="A153" s="66" t="s">
        <v>41</v>
      </c>
      <c r="B153" s="38"/>
      <c r="C153" s="37"/>
      <c r="D153" s="37"/>
      <c r="E153" s="39"/>
      <c r="F153" s="39"/>
      <c r="G153" s="39"/>
      <c r="H153" s="39"/>
      <c r="I153" s="37"/>
      <c r="J153" s="37"/>
      <c r="K153" s="37"/>
      <c r="L153" s="67"/>
      <c r="M153" s="58"/>
      <c r="N153" s="52"/>
      <c r="O153" s="52"/>
      <c r="P153" s="52"/>
      <c r="Q153" s="52"/>
      <c r="R153" s="52"/>
      <c r="S153" s="52"/>
      <c r="T153" s="52"/>
      <c r="U153" s="52"/>
      <c r="V153" s="52"/>
      <c r="W153" s="52"/>
    </row>
    <row r="154" spans="1:23" ht="90.6" hidden="1" outlineLevel="2" thickBot="1" x14ac:dyDescent="0.35">
      <c r="A154" s="27" t="s">
        <v>43</v>
      </c>
      <c r="B154" s="28" t="s">
        <v>44</v>
      </c>
      <c r="C154" s="23">
        <v>2020</v>
      </c>
      <c r="D154" s="23">
        <v>6</v>
      </c>
      <c r="E154" s="17">
        <f>E155</f>
        <v>0</v>
      </c>
      <c r="F154" s="17">
        <f>F155</f>
        <v>0</v>
      </c>
      <c r="G154" s="17">
        <f>G155</f>
        <v>0</v>
      </c>
      <c r="H154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4" s="23" t="s">
        <v>17</v>
      </c>
      <c r="J154" s="23" t="s">
        <v>17</v>
      </c>
      <c r="K154" s="23" t="s">
        <v>17</v>
      </c>
      <c r="L154" s="24" t="s">
        <v>17</v>
      </c>
      <c r="M154" s="58"/>
      <c r="N154" s="52"/>
      <c r="O154" s="52"/>
      <c r="P154" s="52"/>
      <c r="Q154" s="52"/>
      <c r="R154" s="52"/>
      <c r="S154" s="52"/>
      <c r="T154" s="52"/>
      <c r="U154" s="52"/>
      <c r="V154" s="52"/>
      <c r="W154" s="52"/>
    </row>
    <row r="155" spans="1:23" ht="16.2" hidden="1" outlineLevel="2" thickBot="1" x14ac:dyDescent="0.35">
      <c r="A155" s="29" t="s">
        <v>43</v>
      </c>
      <c r="B155" s="30"/>
      <c r="C155" s="25"/>
      <c r="D155" s="25"/>
      <c r="E155" s="18"/>
      <c r="F155" s="18"/>
      <c r="G155" s="18"/>
      <c r="H155" s="18"/>
      <c r="I155" s="25"/>
      <c r="J155" s="25"/>
      <c r="K155" s="25"/>
      <c r="L155" s="26"/>
      <c r="M155" s="58"/>
      <c r="N155" s="52"/>
      <c r="O155" s="52"/>
      <c r="P155" s="52"/>
      <c r="Q155" s="52"/>
      <c r="R155" s="52"/>
      <c r="S155" s="52"/>
      <c r="T155" s="52"/>
      <c r="U155" s="52"/>
      <c r="V155" s="52"/>
      <c r="W155" s="52"/>
    </row>
    <row r="156" spans="1:23" ht="90.6" hidden="1" outlineLevel="2" thickBot="1" x14ac:dyDescent="0.35">
      <c r="A156" s="73" t="s">
        <v>60</v>
      </c>
      <c r="B156" s="46" t="s">
        <v>71</v>
      </c>
      <c r="C156" s="23">
        <v>2020</v>
      </c>
      <c r="D156" s="23">
        <v>6</v>
      </c>
      <c r="E156" s="17">
        <f>E157</f>
        <v>0</v>
      </c>
      <c r="F156" s="17">
        <f>F157</f>
        <v>0</v>
      </c>
      <c r="G156" s="17">
        <f>G157</f>
        <v>0</v>
      </c>
      <c r="H156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6" s="23" t="s">
        <v>17</v>
      </c>
      <c r="J156" s="23" t="s">
        <v>17</v>
      </c>
      <c r="K156" s="23" t="s">
        <v>17</v>
      </c>
      <c r="L156" s="24" t="s">
        <v>17</v>
      </c>
      <c r="M156" s="58"/>
      <c r="N156" s="52"/>
      <c r="O156" s="52"/>
      <c r="P156" s="52"/>
      <c r="Q156" s="52"/>
      <c r="R156" s="52"/>
      <c r="S156" s="52"/>
      <c r="T156" s="52"/>
      <c r="U156" s="52"/>
      <c r="V156" s="52"/>
      <c r="W156" s="52"/>
    </row>
    <row r="157" spans="1:23" hidden="1" outlineLevel="2" x14ac:dyDescent="0.3">
      <c r="A157" s="11" t="s">
        <v>60</v>
      </c>
      <c r="B157" s="36"/>
      <c r="C157" s="10"/>
      <c r="D157" s="10"/>
      <c r="E157" s="9"/>
      <c r="F157" s="9"/>
      <c r="G157" s="9"/>
      <c r="H157" s="9"/>
      <c r="I157" s="10"/>
      <c r="J157" s="10"/>
      <c r="K157" s="10"/>
      <c r="L157" s="12"/>
      <c r="M157" s="58"/>
      <c r="N157" s="52"/>
      <c r="O157" s="52"/>
      <c r="P157" s="52"/>
      <c r="Q157" s="52"/>
      <c r="R157" s="52"/>
      <c r="S157" s="52"/>
      <c r="T157" s="52"/>
      <c r="U157" s="52"/>
      <c r="V157" s="52"/>
      <c r="W157" s="52"/>
    </row>
    <row r="158" spans="1:23" ht="117" collapsed="1" x14ac:dyDescent="0.3">
      <c r="A158" s="74" t="s">
        <v>45</v>
      </c>
      <c r="B158" s="75" t="s">
        <v>72</v>
      </c>
      <c r="C158" s="76" t="s">
        <v>17</v>
      </c>
      <c r="D158" s="76" t="s">
        <v>17</v>
      </c>
      <c r="E158" s="77" t="s">
        <v>17</v>
      </c>
      <c r="F158" s="77" t="s">
        <v>17</v>
      </c>
      <c r="G158" s="77" t="s">
        <v>17</v>
      </c>
      <c r="H158" s="77" t="s">
        <v>17</v>
      </c>
      <c r="I158" s="76" t="s">
        <v>17</v>
      </c>
      <c r="J158" s="76" t="s">
        <v>17</v>
      </c>
      <c r="K158" s="76" t="s">
        <v>17</v>
      </c>
      <c r="L158" s="78" t="s">
        <v>17</v>
      </c>
      <c r="M158" s="58"/>
      <c r="N158" s="52"/>
      <c r="O158" s="52"/>
      <c r="P158" s="52"/>
      <c r="Q158" s="52"/>
      <c r="R158" s="52"/>
      <c r="S158" s="52"/>
      <c r="T158" s="52"/>
      <c r="U158" s="52"/>
      <c r="V158" s="52"/>
      <c r="W158" s="52"/>
    </row>
    <row r="159" spans="1:23" ht="62.4" customHeight="1" x14ac:dyDescent="0.3">
      <c r="A159" s="73" t="s">
        <v>46</v>
      </c>
      <c r="B159" s="46" t="s">
        <v>47</v>
      </c>
      <c r="C159" s="45">
        <v>2020</v>
      </c>
      <c r="D159" s="79" t="s">
        <v>73</v>
      </c>
      <c r="E159" s="22" t="s">
        <v>17</v>
      </c>
      <c r="F159" s="22">
        <f>SUM(F160:F161)</f>
        <v>250</v>
      </c>
      <c r="G159" s="22">
        <f>SUM(G160:G161)</f>
        <v>591.38301000000001</v>
      </c>
      <c r="H159" s="22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2.3655320400000002</v>
      </c>
      <c r="I159" s="45" t="s">
        <v>17</v>
      </c>
      <c r="J159" s="45" t="s">
        <v>17</v>
      </c>
      <c r="K159" s="45" t="s">
        <v>17</v>
      </c>
      <c r="L159" s="80" t="s">
        <v>17</v>
      </c>
      <c r="M159" s="58"/>
      <c r="N159" s="52"/>
      <c r="O159" s="52"/>
      <c r="P159" s="52"/>
      <c r="Q159" s="52"/>
      <c r="R159" s="52"/>
      <c r="S159" s="52"/>
      <c r="T159" s="52"/>
      <c r="U159" s="52"/>
      <c r="V159" s="52"/>
      <c r="W159" s="52"/>
    </row>
    <row r="160" spans="1:23" ht="52.8" customHeight="1" x14ac:dyDescent="0.3">
      <c r="A160" s="11" t="s">
        <v>46</v>
      </c>
      <c r="B160" s="189" t="s">
        <v>187</v>
      </c>
      <c r="C160" s="10">
        <v>2020</v>
      </c>
      <c r="D160" s="19" t="s">
        <v>73</v>
      </c>
      <c r="E160" s="9" t="s">
        <v>17</v>
      </c>
      <c r="F160" s="9">
        <v>100</v>
      </c>
      <c r="G160" s="391">
        <v>290.65383000000003</v>
      </c>
      <c r="H160" s="9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2.9065383000000002</v>
      </c>
      <c r="I160" s="190" t="s">
        <v>179</v>
      </c>
      <c r="J160" s="190" t="s">
        <v>180</v>
      </c>
      <c r="K160" s="190" t="s">
        <v>181</v>
      </c>
      <c r="L160" s="12" t="s">
        <v>572</v>
      </c>
      <c r="M160" s="58"/>
      <c r="N160" s="52"/>
      <c r="O160" s="52"/>
      <c r="P160" s="52"/>
      <c r="Q160" s="52"/>
      <c r="R160" s="52"/>
      <c r="S160" s="52"/>
      <c r="T160" s="52"/>
      <c r="U160" s="52"/>
      <c r="V160" s="52"/>
      <c r="W160" s="52"/>
    </row>
    <row r="161" spans="1:23" ht="31.8" customHeight="1" x14ac:dyDescent="0.3">
      <c r="A161" s="11" t="s">
        <v>46</v>
      </c>
      <c r="B161" s="394" t="s">
        <v>696</v>
      </c>
      <c r="C161" s="10">
        <v>2020</v>
      </c>
      <c r="D161" s="19" t="s">
        <v>698</v>
      </c>
      <c r="E161" s="9" t="s">
        <v>17</v>
      </c>
      <c r="F161" s="9">
        <v>150</v>
      </c>
      <c r="G161" s="392">
        <v>300.72917999999999</v>
      </c>
      <c r="H161" s="9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2.0048612000000001</v>
      </c>
      <c r="I161" s="393" t="s">
        <v>699</v>
      </c>
      <c r="J161" s="393" t="s">
        <v>694</v>
      </c>
      <c r="K161" s="178" t="s">
        <v>165</v>
      </c>
      <c r="L161" s="12" t="s">
        <v>572</v>
      </c>
      <c r="M161" s="58"/>
      <c r="N161" s="52"/>
      <c r="O161" s="52"/>
      <c r="P161" s="52"/>
      <c r="Q161" s="52"/>
      <c r="R161" s="52"/>
      <c r="S161" s="52"/>
      <c r="T161" s="52"/>
      <c r="U161" s="52"/>
      <c r="V161" s="52"/>
      <c r="W161" s="52"/>
    </row>
    <row r="162" spans="1:23" ht="54" x14ac:dyDescent="0.3">
      <c r="A162" s="73" t="s">
        <v>74</v>
      </c>
      <c r="B162" s="46" t="s">
        <v>75</v>
      </c>
      <c r="C162" s="45">
        <v>2020</v>
      </c>
      <c r="D162" s="79" t="s">
        <v>73</v>
      </c>
      <c r="E162" s="22" t="s">
        <v>17</v>
      </c>
      <c r="F162" s="22">
        <f>SUM(F163:F165)</f>
        <v>230</v>
      </c>
      <c r="G162" s="22">
        <f>SUM(G163:G165)</f>
        <v>337.16030999999998</v>
      </c>
      <c r="H162" s="22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1.4659143913043478</v>
      </c>
      <c r="I162" s="45" t="s">
        <v>17</v>
      </c>
      <c r="J162" s="45" t="s">
        <v>17</v>
      </c>
      <c r="K162" s="45" t="s">
        <v>17</v>
      </c>
      <c r="L162" s="80" t="s">
        <v>17</v>
      </c>
      <c r="M162" s="58"/>
      <c r="N162" s="52"/>
      <c r="O162" s="52"/>
      <c r="P162" s="52"/>
      <c r="Q162" s="52"/>
      <c r="R162" s="52"/>
      <c r="S162" s="52"/>
      <c r="T162" s="52"/>
      <c r="U162" s="52"/>
      <c r="V162" s="52"/>
      <c r="W162" s="52"/>
    </row>
    <row r="163" spans="1:23" ht="27" customHeight="1" x14ac:dyDescent="0.3">
      <c r="A163" s="11" t="s">
        <v>74</v>
      </c>
      <c r="B163" s="394" t="s">
        <v>695</v>
      </c>
      <c r="C163" s="10">
        <v>2020</v>
      </c>
      <c r="D163" s="19" t="s">
        <v>73</v>
      </c>
      <c r="E163" s="9"/>
      <c r="F163" s="9">
        <v>230</v>
      </c>
      <c r="G163" s="9">
        <v>327.84618999999998</v>
      </c>
      <c r="H163" s="9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1.4254182173913044</v>
      </c>
      <c r="I163" s="10" t="s">
        <v>701</v>
      </c>
      <c r="J163" s="10" t="s">
        <v>700</v>
      </c>
      <c r="K163" s="178" t="s">
        <v>165</v>
      </c>
      <c r="L163" s="12" t="s">
        <v>572</v>
      </c>
      <c r="M163" s="58"/>
      <c r="N163" s="52"/>
      <c r="O163" s="52"/>
      <c r="P163" s="52"/>
      <c r="Q163" s="52"/>
      <c r="R163" s="52"/>
      <c r="S163" s="52"/>
      <c r="T163" s="52"/>
      <c r="U163" s="52"/>
      <c r="V163" s="52"/>
      <c r="W163" s="52"/>
    </row>
    <row r="164" spans="1:23" ht="31.8" thickBot="1" x14ac:dyDescent="0.35">
      <c r="A164" s="11" t="s">
        <v>74</v>
      </c>
      <c r="B164" s="394" t="s">
        <v>697</v>
      </c>
      <c r="C164" s="10">
        <v>2020</v>
      </c>
      <c r="D164" s="19" t="s">
        <v>698</v>
      </c>
      <c r="E164" s="9"/>
      <c r="F164" s="9">
        <v>0</v>
      </c>
      <c r="G164" s="9">
        <v>9.3141200000000008</v>
      </c>
      <c r="H164" s="9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#DIV/0!</v>
      </c>
      <c r="I164" s="10" t="s">
        <v>702</v>
      </c>
      <c r="J164" s="10" t="s">
        <v>703</v>
      </c>
      <c r="K164" s="178" t="s">
        <v>181</v>
      </c>
      <c r="L164" s="12" t="s">
        <v>572</v>
      </c>
      <c r="M164" s="58"/>
      <c r="N164" s="52"/>
      <c r="O164" s="52"/>
      <c r="P164" s="52"/>
      <c r="Q164" s="52"/>
      <c r="R164" s="52"/>
      <c r="S164" s="52"/>
      <c r="T164" s="52"/>
      <c r="U164" s="52"/>
      <c r="V164" s="52"/>
      <c r="W164" s="52"/>
    </row>
    <row r="165" spans="1:23" hidden="1" outlineLevel="2" x14ac:dyDescent="0.3">
      <c r="A165" s="11" t="s">
        <v>74</v>
      </c>
      <c r="B165" s="36"/>
      <c r="C165" s="10"/>
      <c r="D165" s="19"/>
      <c r="E165" s="9"/>
      <c r="F165" s="9"/>
      <c r="G165" s="9"/>
      <c r="H165" s="9"/>
      <c r="I165" s="10"/>
      <c r="J165" s="10"/>
      <c r="K165" s="10"/>
      <c r="L165" s="12"/>
      <c r="M165" s="58"/>
      <c r="N165" s="52"/>
      <c r="O165" s="52"/>
      <c r="P165" s="52"/>
      <c r="Q165" s="52"/>
      <c r="R165" s="52"/>
      <c r="S165" s="52"/>
      <c r="T165" s="52"/>
      <c r="U165" s="52"/>
      <c r="V165" s="52"/>
      <c r="W165" s="52"/>
    </row>
    <row r="166" spans="1:23" ht="54" hidden="1" outlineLevel="2" x14ac:dyDescent="0.3">
      <c r="A166" s="73" t="s">
        <v>76</v>
      </c>
      <c r="B166" s="46" t="s">
        <v>77</v>
      </c>
      <c r="C166" s="45">
        <v>2020</v>
      </c>
      <c r="D166" s="79" t="s">
        <v>73</v>
      </c>
      <c r="E166" s="22" t="s">
        <v>17</v>
      </c>
      <c r="F166" s="22">
        <f>F167</f>
        <v>0</v>
      </c>
      <c r="G166" s="22">
        <f>G167</f>
        <v>0</v>
      </c>
      <c r="H166" s="22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#DIV/0!</v>
      </c>
      <c r="I166" s="45" t="s">
        <v>17</v>
      </c>
      <c r="J166" s="45" t="s">
        <v>17</v>
      </c>
      <c r="K166" s="45" t="s">
        <v>17</v>
      </c>
      <c r="L166" s="80" t="s">
        <v>17</v>
      </c>
      <c r="M166" s="58"/>
      <c r="N166" s="52"/>
      <c r="O166" s="52"/>
      <c r="P166" s="52"/>
      <c r="Q166" s="52"/>
      <c r="R166" s="52"/>
      <c r="S166" s="52"/>
      <c r="T166" s="52"/>
      <c r="U166" s="52"/>
      <c r="V166" s="52"/>
      <c r="W166" s="52"/>
    </row>
    <row r="167" spans="1:23" hidden="1" outlineLevel="2" x14ac:dyDescent="0.3">
      <c r="A167" s="11" t="s">
        <v>76</v>
      </c>
      <c r="B167" s="36"/>
      <c r="C167" s="10"/>
      <c r="D167" s="19"/>
      <c r="E167" s="9"/>
      <c r="F167" s="9"/>
      <c r="G167" s="9"/>
      <c r="H167" s="9"/>
      <c r="I167" s="10"/>
      <c r="J167" s="10"/>
      <c r="K167" s="10"/>
      <c r="L167" s="12"/>
      <c r="M167" s="58"/>
      <c r="N167" s="52"/>
      <c r="O167" s="52"/>
      <c r="P167" s="52"/>
      <c r="Q167" s="52"/>
      <c r="R167" s="52"/>
      <c r="S167" s="52"/>
      <c r="T167" s="52"/>
      <c r="U167" s="52"/>
      <c r="V167" s="52"/>
      <c r="W167" s="52"/>
    </row>
    <row r="168" spans="1:23" ht="54" hidden="1" outlineLevel="2" x14ac:dyDescent="0.3">
      <c r="A168" s="73" t="s">
        <v>78</v>
      </c>
      <c r="B168" s="46" t="s">
        <v>79</v>
      </c>
      <c r="C168" s="45" t="s">
        <v>58</v>
      </c>
      <c r="D168" s="79" t="s">
        <v>73</v>
      </c>
      <c r="E168" s="22" t="s">
        <v>17</v>
      </c>
      <c r="F168" s="22">
        <f>F169</f>
        <v>0</v>
      </c>
      <c r="G168" s="22">
        <f>G169</f>
        <v>0</v>
      </c>
      <c r="H168" s="22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#DIV/0!</v>
      </c>
      <c r="I168" s="45" t="s">
        <v>17</v>
      </c>
      <c r="J168" s="45" t="s">
        <v>17</v>
      </c>
      <c r="K168" s="45" t="s">
        <v>17</v>
      </c>
      <c r="L168" s="80" t="s">
        <v>17</v>
      </c>
      <c r="M168" s="58"/>
      <c r="N168" s="52"/>
      <c r="O168" s="52"/>
      <c r="P168" s="52"/>
      <c r="Q168" s="52"/>
      <c r="R168" s="52"/>
      <c r="S168" s="52"/>
      <c r="T168" s="52"/>
      <c r="U168" s="52"/>
      <c r="V168" s="52"/>
      <c r="W168" s="52"/>
    </row>
    <row r="169" spans="1:23" ht="16.2" hidden="1" outlineLevel="2" thickBot="1" x14ac:dyDescent="0.35">
      <c r="A169" s="13" t="s">
        <v>78</v>
      </c>
      <c r="B169" s="40"/>
      <c r="C169" s="15"/>
      <c r="D169" s="21"/>
      <c r="E169" s="14"/>
      <c r="F169" s="14"/>
      <c r="G169" s="14"/>
      <c r="H169" s="14"/>
      <c r="I169" s="15"/>
      <c r="J169" s="15"/>
      <c r="K169" s="15"/>
      <c r="L169" s="16"/>
      <c r="M169" s="58"/>
      <c r="N169" s="52"/>
      <c r="O169" s="52"/>
      <c r="P169" s="52"/>
      <c r="Q169" s="52"/>
      <c r="R169" s="52"/>
      <c r="S169" s="52"/>
      <c r="T169" s="52"/>
      <c r="U169" s="52"/>
      <c r="V169" s="52"/>
      <c r="W169" s="52"/>
    </row>
    <row r="170" spans="1:23" s="65" customFormat="1" ht="70.8" collapsed="1" thickBot="1" x14ac:dyDescent="0.5">
      <c r="A170" s="68" t="s">
        <v>48</v>
      </c>
      <c r="B170" s="69" t="s">
        <v>49</v>
      </c>
      <c r="C170" s="71" t="s">
        <v>17</v>
      </c>
      <c r="D170" s="71" t="s">
        <v>17</v>
      </c>
      <c r="E170" s="71" t="s">
        <v>17</v>
      </c>
      <c r="F170" s="71" t="s">
        <v>17</v>
      </c>
      <c r="G170" s="71" t="s">
        <v>17</v>
      </c>
      <c r="H170" s="71" t="s">
        <v>17</v>
      </c>
      <c r="I170" s="71" t="s">
        <v>17</v>
      </c>
      <c r="J170" s="71" t="s">
        <v>17</v>
      </c>
      <c r="K170" s="71" t="s">
        <v>17</v>
      </c>
      <c r="L170" s="71" t="s">
        <v>17</v>
      </c>
      <c r="M170" s="58"/>
    </row>
    <row r="171" spans="1:23" ht="54.6" hidden="1" outlineLevel="1" thickBot="1" x14ac:dyDescent="0.35">
      <c r="A171" s="27" t="s">
        <v>80</v>
      </c>
      <c r="B171" s="28" t="s">
        <v>81</v>
      </c>
      <c r="C171" s="23">
        <v>2020</v>
      </c>
      <c r="D171" s="23">
        <f>D172</f>
        <v>0</v>
      </c>
      <c r="E171" s="17" t="s">
        <v>17</v>
      </c>
      <c r="F171" s="17">
        <f>F172</f>
        <v>0</v>
      </c>
      <c r="G171" s="17">
        <f>G172</f>
        <v>0</v>
      </c>
      <c r="H171" s="17" t="e">
        <f>Г2020[[#This Row],[Расходы на строительство объекта/на обеспечение средствами коммерческого учета электрической энергии (мощности), тыс. руб.
]]/Г2020[[#This Row],[Максимальная мощность, кВт]]</f>
        <v>#DIV/0!</v>
      </c>
      <c r="I171" s="23" t="s">
        <v>17</v>
      </c>
      <c r="J171" s="23" t="s">
        <v>17</v>
      </c>
      <c r="K171" s="23" t="s">
        <v>17</v>
      </c>
      <c r="L171" s="24" t="s">
        <v>17</v>
      </c>
      <c r="M171" s="58"/>
      <c r="N171" s="52"/>
      <c r="O171" s="52"/>
      <c r="P171" s="52"/>
      <c r="Q171" s="52"/>
      <c r="R171" s="52"/>
      <c r="S171" s="52"/>
      <c r="T171" s="52"/>
      <c r="U171" s="52"/>
      <c r="V171" s="52"/>
      <c r="W171" s="52"/>
    </row>
    <row r="172" spans="1:23" ht="16.2" hidden="1" outlineLevel="1" thickBot="1" x14ac:dyDescent="0.35">
      <c r="A172" s="66" t="s">
        <v>80</v>
      </c>
      <c r="B172" s="38"/>
      <c r="C172" s="37"/>
      <c r="D172" s="37"/>
      <c r="E172" s="39"/>
      <c r="F172" s="39"/>
      <c r="G172" s="39"/>
      <c r="H172" s="39"/>
      <c r="I172" s="37"/>
      <c r="J172" s="37"/>
      <c r="K172" s="37"/>
      <c r="L172" s="67"/>
      <c r="M172" s="58"/>
      <c r="N172" s="52"/>
      <c r="O172" s="52"/>
      <c r="P172" s="52"/>
      <c r="Q172" s="52"/>
      <c r="R172" s="52"/>
      <c r="S172" s="52"/>
      <c r="T172" s="52"/>
      <c r="U172" s="52"/>
      <c r="V172" s="52"/>
      <c r="W172" s="52"/>
    </row>
    <row r="173" spans="1:23" s="82" customFormat="1" ht="70.8" collapsed="1" thickBot="1" x14ac:dyDescent="0.5">
      <c r="A173" s="68" t="s">
        <v>50</v>
      </c>
      <c r="B173" s="69" t="s">
        <v>51</v>
      </c>
      <c r="C173" s="71" t="s">
        <v>17</v>
      </c>
      <c r="D173" s="71" t="s">
        <v>17</v>
      </c>
      <c r="E173" s="71" t="s">
        <v>17</v>
      </c>
      <c r="F173" s="71" t="s">
        <v>17</v>
      </c>
      <c r="G173" s="71" t="s">
        <v>17</v>
      </c>
      <c r="H173" s="71" t="s">
        <v>17</v>
      </c>
      <c r="I173" s="71" t="s">
        <v>17</v>
      </c>
      <c r="J173" s="71" t="s">
        <v>17</v>
      </c>
      <c r="K173" s="71" t="s">
        <v>17</v>
      </c>
      <c r="L173" s="71" t="s">
        <v>17</v>
      </c>
      <c r="M173" s="58"/>
      <c r="N173" s="65"/>
      <c r="O173" s="65"/>
      <c r="P173" s="65"/>
      <c r="Q173" s="65"/>
      <c r="R173" s="65"/>
      <c r="S173" s="65"/>
      <c r="T173" s="65"/>
      <c r="U173" s="65"/>
      <c r="V173" s="81"/>
      <c r="W173" s="81"/>
    </row>
    <row r="174" spans="1:23" s="84" customFormat="1" ht="54.6" thickBot="1" x14ac:dyDescent="0.35">
      <c r="A174" s="27" t="s">
        <v>54</v>
      </c>
      <c r="B174" s="28" t="s">
        <v>82</v>
      </c>
      <c r="C174" s="260">
        <v>2020</v>
      </c>
      <c r="D174" s="260">
        <v>0.4</v>
      </c>
      <c r="E174" s="261">
        <f>SUM(E175:E180)</f>
        <v>22</v>
      </c>
      <c r="F174" s="261" t="s">
        <v>17</v>
      </c>
      <c r="G174" s="261">
        <f>G175+G180</f>
        <v>443.86876999999998</v>
      </c>
      <c r="H174" s="261">
        <f>Г2020[[#This Row],[Расходы на строительство объекта/на обеспечение средствами коммерческого учета электрической энергии (мощности), тыс. руб.
]]/18</f>
        <v>24.659376111111111</v>
      </c>
      <c r="I174" s="260" t="s">
        <v>17</v>
      </c>
      <c r="J174" s="260" t="s">
        <v>17</v>
      </c>
      <c r="K174" s="260" t="s">
        <v>17</v>
      </c>
      <c r="L174" s="262" t="s">
        <v>17</v>
      </c>
      <c r="M174" s="58"/>
      <c r="N174" s="48"/>
      <c r="O174" s="48"/>
      <c r="P174" s="48"/>
      <c r="Q174" s="48"/>
      <c r="R174" s="48"/>
      <c r="S174" s="48"/>
      <c r="T174" s="48"/>
      <c r="U174" s="48"/>
      <c r="V174" s="83"/>
      <c r="W174" s="83"/>
    </row>
    <row r="175" spans="1:23" s="84" customFormat="1" x14ac:dyDescent="0.3">
      <c r="A175" s="240" t="s">
        <v>189</v>
      </c>
      <c r="B175" s="241" t="s">
        <v>190</v>
      </c>
      <c r="C175" s="242">
        <v>2020</v>
      </c>
      <c r="D175" s="242"/>
      <c r="E175" s="242">
        <f>SUM(E176:E179)</f>
        <v>4</v>
      </c>
      <c r="F175" s="242"/>
      <c r="G175" s="242">
        <f>SUM(G176:G179)</f>
        <v>62.174419999999998</v>
      </c>
      <c r="H175" s="242">
        <f>Г2020[[#This Row],[Расходы на строительство объекта/на обеспечение средствами коммерческого учета электрической энергии (мощности), тыс. руб.
]]/4</f>
        <v>15.543604999999999</v>
      </c>
      <c r="I175" s="242"/>
      <c r="J175" s="242"/>
      <c r="K175" s="242"/>
      <c r="L175" s="243"/>
      <c r="M175" s="58"/>
      <c r="N175" s="48"/>
      <c r="O175" s="48"/>
      <c r="P175" s="48"/>
      <c r="Q175" s="48"/>
      <c r="R175" s="48"/>
      <c r="S175" s="48"/>
      <c r="T175" s="48"/>
      <c r="U175" s="48"/>
      <c r="V175" s="83"/>
      <c r="W175" s="83"/>
    </row>
    <row r="176" spans="1:23" s="84" customFormat="1" ht="43.2" hidden="1" outlineLevel="1" x14ac:dyDescent="0.3">
      <c r="A176" s="244" t="s">
        <v>52</v>
      </c>
      <c r="B176" s="245" t="s">
        <v>191</v>
      </c>
      <c r="C176" s="246">
        <v>2020</v>
      </c>
      <c r="D176" s="246">
        <v>0.23</v>
      </c>
      <c r="E176" s="246">
        <v>1</v>
      </c>
      <c r="F176" s="246">
        <v>10</v>
      </c>
      <c r="G176" s="247">
        <v>17.410229999999999</v>
      </c>
      <c r="H176" s="247">
        <v>17.410229999999999</v>
      </c>
      <c r="I176" s="246" t="s">
        <v>192</v>
      </c>
      <c r="J176" s="246" t="s">
        <v>193</v>
      </c>
      <c r="K176" s="248" t="s">
        <v>163</v>
      </c>
      <c r="L176" s="249" t="s">
        <v>164</v>
      </c>
      <c r="M176" s="58"/>
      <c r="N176" s="48"/>
      <c r="O176" s="48"/>
      <c r="P176" s="48"/>
      <c r="Q176" s="48"/>
      <c r="R176" s="48"/>
      <c r="S176" s="48"/>
      <c r="T176" s="48"/>
      <c r="U176" s="48"/>
      <c r="V176" s="83"/>
      <c r="W176" s="83"/>
    </row>
    <row r="177" spans="1:23" s="84" customFormat="1" ht="72" hidden="1" outlineLevel="1" x14ac:dyDescent="0.3">
      <c r="A177" s="244" t="s">
        <v>194</v>
      </c>
      <c r="B177" s="245" t="s">
        <v>195</v>
      </c>
      <c r="C177" s="246">
        <v>2020</v>
      </c>
      <c r="D177" s="246">
        <v>0.4</v>
      </c>
      <c r="E177" s="246">
        <v>1</v>
      </c>
      <c r="F177" s="246">
        <v>5</v>
      </c>
      <c r="G177" s="247">
        <v>17.144690000000001</v>
      </c>
      <c r="H177" s="247">
        <v>17.144690000000001</v>
      </c>
      <c r="I177" s="246" t="s">
        <v>196</v>
      </c>
      <c r="J177" s="246" t="s">
        <v>197</v>
      </c>
      <c r="K177" s="248" t="s">
        <v>163</v>
      </c>
      <c r="L177" s="249" t="s">
        <v>164</v>
      </c>
      <c r="M177" s="58"/>
      <c r="N177" s="48"/>
      <c r="O177" s="48"/>
      <c r="P177" s="48"/>
      <c r="Q177" s="48"/>
      <c r="R177" s="48"/>
      <c r="S177" s="48"/>
      <c r="T177" s="48"/>
      <c r="U177" s="48"/>
      <c r="V177" s="83"/>
      <c r="W177" s="83"/>
    </row>
    <row r="178" spans="1:23" s="84" customFormat="1" ht="43.2" hidden="1" outlineLevel="1" x14ac:dyDescent="0.3">
      <c r="A178" s="244" t="s">
        <v>198</v>
      </c>
      <c r="B178" s="245" t="s">
        <v>199</v>
      </c>
      <c r="C178" s="246">
        <v>2020</v>
      </c>
      <c r="D178" s="246">
        <v>0.4</v>
      </c>
      <c r="E178" s="246">
        <v>1</v>
      </c>
      <c r="F178" s="246">
        <v>0.3</v>
      </c>
      <c r="G178" s="247">
        <v>6.3185799999999999</v>
      </c>
      <c r="H178" s="247">
        <v>6.3185799999999999</v>
      </c>
      <c r="I178" s="246" t="s">
        <v>200</v>
      </c>
      <c r="J178" s="246" t="s">
        <v>201</v>
      </c>
      <c r="K178" s="248" t="s">
        <v>163</v>
      </c>
      <c r="L178" s="249" t="s">
        <v>164</v>
      </c>
      <c r="M178" s="58"/>
      <c r="N178" s="48"/>
      <c r="O178" s="48"/>
      <c r="P178" s="48"/>
      <c r="Q178" s="48"/>
      <c r="R178" s="48"/>
      <c r="S178" s="48"/>
      <c r="T178" s="48"/>
      <c r="U178" s="48"/>
      <c r="V178" s="83"/>
      <c r="W178" s="83"/>
    </row>
    <row r="179" spans="1:23" s="84" customFormat="1" ht="43.2" hidden="1" outlineLevel="1" x14ac:dyDescent="0.3">
      <c r="A179" s="244" t="s">
        <v>202</v>
      </c>
      <c r="B179" s="245" t="s">
        <v>203</v>
      </c>
      <c r="C179" s="246">
        <v>2020</v>
      </c>
      <c r="D179" s="246">
        <v>0.4</v>
      </c>
      <c r="E179" s="246">
        <v>1</v>
      </c>
      <c r="F179" s="246">
        <v>5</v>
      </c>
      <c r="G179" s="247">
        <v>21.300920000000001</v>
      </c>
      <c r="H179" s="247">
        <v>21.300920000000001</v>
      </c>
      <c r="I179" s="246" t="s">
        <v>204</v>
      </c>
      <c r="J179" s="246" t="s">
        <v>205</v>
      </c>
      <c r="K179" s="248" t="s">
        <v>163</v>
      </c>
      <c r="L179" s="249" t="s">
        <v>164</v>
      </c>
      <c r="M179" s="58"/>
      <c r="N179" s="48"/>
      <c r="O179" s="48"/>
      <c r="P179" s="48"/>
      <c r="Q179" s="48"/>
      <c r="R179" s="48"/>
      <c r="S179" s="48"/>
      <c r="T179" s="48"/>
      <c r="U179" s="48"/>
      <c r="V179" s="83"/>
      <c r="W179" s="83"/>
    </row>
    <row r="180" spans="1:23" s="84" customFormat="1" collapsed="1" x14ac:dyDescent="0.3">
      <c r="A180" s="240" t="s">
        <v>206</v>
      </c>
      <c r="B180" s="250" t="s">
        <v>207</v>
      </c>
      <c r="C180" s="242">
        <v>2020</v>
      </c>
      <c r="D180" s="242"/>
      <c r="E180" s="285">
        <f>E181+E194</f>
        <v>14</v>
      </c>
      <c r="F180" s="242"/>
      <c r="G180" s="242">
        <f>G181+G194</f>
        <v>381.69434999999999</v>
      </c>
      <c r="H180" s="242">
        <f>Г2020[[#This Row],[Расходы на строительство объекта/на обеспечение средствами коммерческого учета электрической энергии (мощности), тыс. руб.
]]/14</f>
        <v>27.263882142857142</v>
      </c>
      <c r="I180" s="242"/>
      <c r="J180" s="242"/>
      <c r="K180" s="242"/>
      <c r="L180" s="243"/>
      <c r="M180" s="58"/>
      <c r="N180" s="48"/>
      <c r="O180" s="48"/>
      <c r="P180" s="48"/>
      <c r="Q180" s="48"/>
      <c r="R180" s="48"/>
      <c r="S180" s="48"/>
      <c r="T180" s="48"/>
      <c r="U180" s="48"/>
      <c r="V180" s="83"/>
      <c r="W180" s="83"/>
    </row>
    <row r="181" spans="1:23" x14ac:dyDescent="0.3">
      <c r="A181" s="251" t="s">
        <v>53</v>
      </c>
      <c r="B181" s="252" t="s">
        <v>208</v>
      </c>
      <c r="C181" s="253">
        <v>2020</v>
      </c>
      <c r="D181" s="253"/>
      <c r="E181" s="286">
        <f>SUM(E182:E193)</f>
        <v>12</v>
      </c>
      <c r="F181" s="253"/>
      <c r="G181" s="253">
        <f>SUM(G182:G193)</f>
        <v>340.58355</v>
      </c>
      <c r="H181" s="253">
        <f>Г2020[[#This Row],[Расходы на строительство объекта/на обеспечение средствами коммерческого учета электрической энергии (мощности), тыс. руб.
]]/12</f>
        <v>28.3819625</v>
      </c>
      <c r="I181" s="253"/>
      <c r="J181" s="253"/>
      <c r="K181" s="253"/>
      <c r="L181" s="254"/>
      <c r="M181" s="58"/>
    </row>
    <row r="182" spans="1:23" ht="57.6" hidden="1" outlineLevel="1" x14ac:dyDescent="0.3">
      <c r="A182" s="255" t="s">
        <v>209</v>
      </c>
      <c r="B182" s="245" t="s">
        <v>210</v>
      </c>
      <c r="C182" s="256">
        <v>2020</v>
      </c>
      <c r="D182" s="256">
        <v>0.4</v>
      </c>
      <c r="E182" s="256">
        <v>1</v>
      </c>
      <c r="F182" s="256">
        <v>10</v>
      </c>
      <c r="G182" s="257">
        <v>26.51643</v>
      </c>
      <c r="H182" s="257">
        <v>26.51643</v>
      </c>
      <c r="I182" s="256" t="s">
        <v>211</v>
      </c>
      <c r="J182" s="256" t="s">
        <v>212</v>
      </c>
      <c r="K182" s="248" t="s">
        <v>163</v>
      </c>
      <c r="L182" s="249" t="s">
        <v>164</v>
      </c>
      <c r="M182" s="58"/>
    </row>
    <row r="183" spans="1:23" ht="57.6" hidden="1" outlineLevel="1" x14ac:dyDescent="0.3">
      <c r="A183" s="255" t="s">
        <v>213</v>
      </c>
      <c r="B183" s="245" t="s">
        <v>214</v>
      </c>
      <c r="C183" s="256">
        <v>2020</v>
      </c>
      <c r="D183" s="256">
        <v>0.4</v>
      </c>
      <c r="E183" s="256">
        <v>1</v>
      </c>
      <c r="F183" s="256">
        <v>12.5</v>
      </c>
      <c r="G183" s="257">
        <v>26.900020000000001</v>
      </c>
      <c r="H183" s="257">
        <v>26.900020000000001</v>
      </c>
      <c r="I183" s="256" t="s">
        <v>215</v>
      </c>
      <c r="J183" s="256" t="s">
        <v>216</v>
      </c>
      <c r="K183" s="248" t="s">
        <v>163</v>
      </c>
      <c r="L183" s="249" t="s">
        <v>164</v>
      </c>
      <c r="M183" s="58"/>
    </row>
    <row r="184" spans="1:23" s="171" customFormat="1" ht="43.2" hidden="1" outlineLevel="1" x14ac:dyDescent="0.3">
      <c r="A184" s="255" t="s">
        <v>217</v>
      </c>
      <c r="B184" s="245" t="s">
        <v>218</v>
      </c>
      <c r="C184" s="256">
        <v>2020</v>
      </c>
      <c r="D184" s="256">
        <v>0.4</v>
      </c>
      <c r="E184" s="256">
        <v>1</v>
      </c>
      <c r="F184" s="256">
        <v>10</v>
      </c>
      <c r="G184" s="257">
        <v>28.285070000000001</v>
      </c>
      <c r="H184" s="257">
        <v>28.285070000000001</v>
      </c>
      <c r="I184" s="256" t="s">
        <v>219</v>
      </c>
      <c r="J184" s="256" t="s">
        <v>220</v>
      </c>
      <c r="K184" s="248" t="s">
        <v>163</v>
      </c>
      <c r="L184" s="249" t="s">
        <v>164</v>
      </c>
      <c r="M184" s="58"/>
    </row>
    <row r="185" spans="1:23" ht="43.2" hidden="1" outlineLevel="1" x14ac:dyDescent="0.3">
      <c r="A185" s="255" t="s">
        <v>221</v>
      </c>
      <c r="B185" s="245" t="s">
        <v>222</v>
      </c>
      <c r="C185" s="256">
        <v>2020</v>
      </c>
      <c r="D185" s="256">
        <v>0.4</v>
      </c>
      <c r="E185" s="256">
        <v>1</v>
      </c>
      <c r="F185" s="256">
        <v>15</v>
      </c>
      <c r="G185" s="257">
        <v>28.299679999999999</v>
      </c>
      <c r="H185" s="257">
        <v>28.299679999999999</v>
      </c>
      <c r="I185" s="256" t="s">
        <v>223</v>
      </c>
      <c r="J185" s="256" t="s">
        <v>224</v>
      </c>
      <c r="K185" s="248" t="s">
        <v>163</v>
      </c>
      <c r="L185" s="249" t="s">
        <v>164</v>
      </c>
      <c r="M185" s="58"/>
    </row>
    <row r="186" spans="1:23" ht="72" hidden="1" outlineLevel="1" x14ac:dyDescent="0.3">
      <c r="A186" s="255" t="s">
        <v>225</v>
      </c>
      <c r="B186" s="245" t="s">
        <v>226</v>
      </c>
      <c r="C186" s="256">
        <v>2020</v>
      </c>
      <c r="D186" s="256">
        <v>0.4</v>
      </c>
      <c r="E186" s="256">
        <v>1</v>
      </c>
      <c r="F186" s="256">
        <v>10</v>
      </c>
      <c r="G186" s="257">
        <v>26.87323</v>
      </c>
      <c r="H186" s="257">
        <v>26.87323</v>
      </c>
      <c r="I186" s="256" t="s">
        <v>227</v>
      </c>
      <c r="J186" s="256" t="s">
        <v>228</v>
      </c>
      <c r="K186" s="248" t="s">
        <v>163</v>
      </c>
      <c r="L186" s="249" t="s">
        <v>164</v>
      </c>
      <c r="M186" s="58"/>
    </row>
    <row r="187" spans="1:23" ht="57.6" hidden="1" outlineLevel="1" x14ac:dyDescent="0.3">
      <c r="A187" s="255" t="s">
        <v>229</v>
      </c>
      <c r="B187" s="245" t="s">
        <v>230</v>
      </c>
      <c r="C187" s="256">
        <v>2020</v>
      </c>
      <c r="D187" s="256">
        <v>0.4</v>
      </c>
      <c r="E187" s="256">
        <v>1</v>
      </c>
      <c r="F187" s="256">
        <v>15</v>
      </c>
      <c r="G187" s="257">
        <v>29.119140000000002</v>
      </c>
      <c r="H187" s="257">
        <v>29.119140000000002</v>
      </c>
      <c r="I187" s="256" t="s">
        <v>231</v>
      </c>
      <c r="J187" s="256" t="s">
        <v>232</v>
      </c>
      <c r="K187" s="248" t="s">
        <v>163</v>
      </c>
      <c r="L187" s="249" t="s">
        <v>164</v>
      </c>
      <c r="M187" s="58"/>
    </row>
    <row r="188" spans="1:23" ht="72" hidden="1" outlineLevel="1" x14ac:dyDescent="0.3">
      <c r="A188" s="255" t="s">
        <v>233</v>
      </c>
      <c r="B188" s="245" t="s">
        <v>234</v>
      </c>
      <c r="C188" s="256">
        <v>2020</v>
      </c>
      <c r="D188" s="256">
        <v>0.4</v>
      </c>
      <c r="E188" s="256">
        <v>1</v>
      </c>
      <c r="F188" s="256">
        <v>15</v>
      </c>
      <c r="G188" s="257">
        <v>28.40307</v>
      </c>
      <c r="H188" s="257">
        <v>28.40307</v>
      </c>
      <c r="I188" s="256" t="s">
        <v>235</v>
      </c>
      <c r="J188" s="256" t="s">
        <v>236</v>
      </c>
      <c r="K188" s="248" t="s">
        <v>163</v>
      </c>
      <c r="L188" s="249" t="s">
        <v>164</v>
      </c>
      <c r="M188" s="58"/>
    </row>
    <row r="189" spans="1:23" ht="57.6" hidden="1" outlineLevel="1" x14ac:dyDescent="0.3">
      <c r="A189" s="255" t="s">
        <v>237</v>
      </c>
      <c r="B189" s="245" t="s">
        <v>238</v>
      </c>
      <c r="C189" s="256">
        <v>2020</v>
      </c>
      <c r="D189" s="256">
        <v>0.4</v>
      </c>
      <c r="E189" s="256">
        <v>1</v>
      </c>
      <c r="F189" s="256">
        <v>15</v>
      </c>
      <c r="G189" s="257">
        <v>28.48441</v>
      </c>
      <c r="H189" s="257">
        <v>28.48441</v>
      </c>
      <c r="I189" s="256" t="s">
        <v>239</v>
      </c>
      <c r="J189" s="256" t="s">
        <v>240</v>
      </c>
      <c r="K189" s="248" t="s">
        <v>163</v>
      </c>
      <c r="L189" s="249" t="s">
        <v>164</v>
      </c>
      <c r="M189" s="58"/>
    </row>
    <row r="190" spans="1:23" ht="43.2" hidden="1" outlineLevel="1" x14ac:dyDescent="0.3">
      <c r="A190" s="255" t="s">
        <v>241</v>
      </c>
      <c r="B190" s="245" t="s">
        <v>242</v>
      </c>
      <c r="C190" s="256">
        <v>2020</v>
      </c>
      <c r="D190" s="256">
        <v>0.4</v>
      </c>
      <c r="E190" s="256">
        <v>1</v>
      </c>
      <c r="F190" s="256">
        <v>10</v>
      </c>
      <c r="G190" s="257">
        <v>28.484400000000001</v>
      </c>
      <c r="H190" s="257">
        <v>28.484400000000001</v>
      </c>
      <c r="I190" s="256" t="s">
        <v>243</v>
      </c>
      <c r="J190" s="256" t="s">
        <v>244</v>
      </c>
      <c r="K190" s="248" t="s">
        <v>163</v>
      </c>
      <c r="L190" s="249" t="s">
        <v>164</v>
      </c>
      <c r="M190" s="58"/>
    </row>
    <row r="191" spans="1:23" ht="57.6" hidden="1" outlineLevel="1" x14ac:dyDescent="0.3">
      <c r="A191" s="255" t="s">
        <v>245</v>
      </c>
      <c r="B191" s="258" t="s">
        <v>246</v>
      </c>
      <c r="C191" s="256">
        <v>2020</v>
      </c>
      <c r="D191" s="256">
        <v>0.4</v>
      </c>
      <c r="E191" s="256">
        <v>1</v>
      </c>
      <c r="F191" s="256">
        <v>50</v>
      </c>
      <c r="G191" s="257">
        <v>27.457750000000001</v>
      </c>
      <c r="H191" s="257">
        <v>27.457750000000001</v>
      </c>
      <c r="I191" s="256" t="s">
        <v>247</v>
      </c>
      <c r="J191" s="256" t="s">
        <v>248</v>
      </c>
      <c r="K191" s="248" t="s">
        <v>165</v>
      </c>
      <c r="L191" s="249" t="s">
        <v>164</v>
      </c>
      <c r="M191" s="58"/>
    </row>
    <row r="192" spans="1:23" ht="57.6" hidden="1" outlineLevel="1" x14ac:dyDescent="0.3">
      <c r="A192" s="255" t="s">
        <v>249</v>
      </c>
      <c r="B192" s="258" t="s">
        <v>250</v>
      </c>
      <c r="C192" s="256">
        <v>2020</v>
      </c>
      <c r="D192" s="256">
        <v>0.4</v>
      </c>
      <c r="E192" s="256">
        <v>1</v>
      </c>
      <c r="F192" s="256">
        <v>50</v>
      </c>
      <c r="G192" s="257">
        <v>26.123059999999999</v>
      </c>
      <c r="H192" s="257">
        <v>26.123059999999999</v>
      </c>
      <c r="I192" s="256" t="s">
        <v>251</v>
      </c>
      <c r="J192" s="256" t="s">
        <v>252</v>
      </c>
      <c r="K192" s="248" t="s">
        <v>165</v>
      </c>
      <c r="L192" s="249" t="s">
        <v>164</v>
      </c>
      <c r="M192" s="58"/>
    </row>
    <row r="193" spans="1:13" ht="43.2" hidden="1" outlineLevel="1" x14ac:dyDescent="0.3">
      <c r="A193" s="255" t="s">
        <v>253</v>
      </c>
      <c r="B193" s="258" t="s">
        <v>254</v>
      </c>
      <c r="C193" s="256">
        <v>2020</v>
      </c>
      <c r="D193" s="256">
        <v>0.4</v>
      </c>
      <c r="E193" s="256">
        <v>1</v>
      </c>
      <c r="F193" s="256">
        <v>80</v>
      </c>
      <c r="G193" s="257">
        <v>35.63729</v>
      </c>
      <c r="H193" s="257">
        <v>35.63729</v>
      </c>
      <c r="I193" s="256" t="s">
        <v>255</v>
      </c>
      <c r="J193" s="256" t="s">
        <v>256</v>
      </c>
      <c r="K193" s="248" t="s">
        <v>165</v>
      </c>
      <c r="L193" s="249" t="s">
        <v>164</v>
      </c>
      <c r="M193" s="58"/>
    </row>
    <row r="194" spans="1:13" collapsed="1" x14ac:dyDescent="0.3">
      <c r="A194" s="251" t="s">
        <v>54</v>
      </c>
      <c r="B194" s="252" t="s">
        <v>257</v>
      </c>
      <c r="C194" s="253">
        <v>2020</v>
      </c>
      <c r="D194" s="253"/>
      <c r="E194" s="253">
        <f>SUM(E195:E196)</f>
        <v>2</v>
      </c>
      <c r="F194" s="253"/>
      <c r="G194" s="253">
        <f>SUM(G195:G196)</f>
        <v>41.110799999999998</v>
      </c>
      <c r="H194" s="253">
        <f>Г2020[[#This Row],[Расходы на строительство объекта/на обеспечение средствами коммерческого учета электрической энергии (мощности), тыс. руб.
]]/2</f>
        <v>20.555399999999999</v>
      </c>
      <c r="I194" s="253"/>
      <c r="J194" s="253"/>
      <c r="K194" s="253"/>
      <c r="L194" s="254"/>
      <c r="M194" s="58"/>
    </row>
    <row r="195" spans="1:13" ht="28.8" hidden="1" outlineLevel="1" x14ac:dyDescent="0.3">
      <c r="A195" s="255" t="s">
        <v>258</v>
      </c>
      <c r="B195" s="258" t="s">
        <v>259</v>
      </c>
      <c r="C195" s="256">
        <v>2020</v>
      </c>
      <c r="D195" s="256">
        <v>0.4</v>
      </c>
      <c r="E195" s="256">
        <v>1</v>
      </c>
      <c r="F195" s="256">
        <v>50</v>
      </c>
      <c r="G195" s="257">
        <v>20.996259999999999</v>
      </c>
      <c r="H195" s="257">
        <v>20.996259999999999</v>
      </c>
      <c r="I195" s="256" t="s">
        <v>260</v>
      </c>
      <c r="J195" s="256" t="s">
        <v>261</v>
      </c>
      <c r="K195" s="248" t="s">
        <v>165</v>
      </c>
      <c r="L195" s="249" t="s">
        <v>164</v>
      </c>
      <c r="M195" s="58"/>
    </row>
    <row r="196" spans="1:13" ht="100.8" hidden="1" outlineLevel="1" x14ac:dyDescent="0.3">
      <c r="A196" s="255" t="s">
        <v>262</v>
      </c>
      <c r="B196" s="258" t="s">
        <v>263</v>
      </c>
      <c r="C196" s="256">
        <v>2020</v>
      </c>
      <c r="D196" s="256">
        <v>0.4</v>
      </c>
      <c r="E196" s="256">
        <v>1</v>
      </c>
      <c r="F196" s="256">
        <v>69</v>
      </c>
      <c r="G196" s="257">
        <v>20.114540000000002</v>
      </c>
      <c r="H196" s="257">
        <v>20.114540000000002</v>
      </c>
      <c r="I196" s="256" t="s">
        <v>264</v>
      </c>
      <c r="J196" s="256" t="s">
        <v>265</v>
      </c>
      <c r="K196" s="248" t="s">
        <v>165</v>
      </c>
      <c r="L196" s="249" t="s">
        <v>164</v>
      </c>
      <c r="M196" s="58"/>
    </row>
    <row r="197" spans="1:13" collapsed="1" x14ac:dyDescent="0.3">
      <c r="A197" s="251" t="s">
        <v>55</v>
      </c>
      <c r="B197" s="252" t="s">
        <v>266</v>
      </c>
      <c r="C197" s="253">
        <v>2020</v>
      </c>
      <c r="D197" s="253"/>
      <c r="E197" s="253"/>
      <c r="F197" s="253"/>
      <c r="G197" s="253">
        <v>0</v>
      </c>
      <c r="H197" s="253">
        <v>0</v>
      </c>
      <c r="I197" s="253"/>
      <c r="J197" s="253"/>
      <c r="K197" s="253"/>
      <c r="L197" s="254"/>
      <c r="M197" s="58"/>
    </row>
    <row r="198" spans="1:13" ht="16.2" thickBot="1" x14ac:dyDescent="0.35">
      <c r="A198" s="195"/>
      <c r="B198" s="196"/>
      <c r="C198" s="197"/>
      <c r="D198" s="197"/>
      <c r="E198" s="197"/>
      <c r="F198" s="197"/>
      <c r="G198" s="197"/>
      <c r="H198" s="197"/>
      <c r="I198" s="197"/>
      <c r="J198" s="197"/>
      <c r="K198" s="197"/>
      <c r="L198" s="198"/>
      <c r="M198" s="58"/>
    </row>
    <row r="199" spans="1:13" x14ac:dyDescent="0.3">
      <c r="A199" s="172"/>
      <c r="B199" s="173" t="s">
        <v>166</v>
      </c>
      <c r="C199" s="58"/>
      <c r="D199" s="58"/>
      <c r="E199" s="259"/>
      <c r="F199" s="259"/>
      <c r="G199" s="259"/>
      <c r="H199" s="259"/>
      <c r="I199" s="58"/>
      <c r="J199" s="58"/>
      <c r="K199" s="58"/>
      <c r="L199" s="58"/>
      <c r="M199" s="58"/>
    </row>
    <row r="200" spans="1:13" x14ac:dyDescent="0.3">
      <c r="A200" s="172"/>
      <c r="B200" s="173"/>
      <c r="C200" s="58"/>
      <c r="D200" s="58"/>
      <c r="E200" s="259"/>
      <c r="F200" s="259"/>
      <c r="G200" s="259"/>
      <c r="H200" s="259"/>
      <c r="I200" s="58"/>
      <c r="J200" s="58"/>
      <c r="K200" s="58"/>
      <c r="L200" s="58"/>
      <c r="M200" s="58"/>
    </row>
    <row r="201" spans="1:13" x14ac:dyDescent="0.3">
      <c r="A201" s="172"/>
      <c r="B201" s="173"/>
      <c r="C201" s="58"/>
      <c r="D201" s="58"/>
      <c r="E201" s="259"/>
      <c r="F201" s="259"/>
      <c r="G201" s="259"/>
      <c r="H201" s="259"/>
      <c r="I201" s="58"/>
      <c r="J201" s="58"/>
      <c r="K201" s="58"/>
      <c r="L201" s="58"/>
      <c r="M201" s="58"/>
    </row>
    <row r="202" spans="1:13" x14ac:dyDescent="0.3">
      <c r="A202" s="172"/>
      <c r="B202" s="173"/>
      <c r="C202" s="58"/>
      <c r="D202" s="58"/>
      <c r="E202" s="259"/>
      <c r="F202" s="259"/>
      <c r="G202" s="259"/>
      <c r="H202" s="259"/>
      <c r="I202" s="58"/>
      <c r="J202" s="58"/>
      <c r="K202" s="58"/>
      <c r="L202" s="58"/>
      <c r="M202" s="58"/>
    </row>
    <row r="203" spans="1:13" ht="25.8" x14ac:dyDescent="0.5">
      <c r="A203" s="172"/>
      <c r="B203" s="175" t="s">
        <v>167</v>
      </c>
      <c r="C203" s="175"/>
      <c r="D203" s="176"/>
      <c r="E203" s="176"/>
      <c r="F203" s="171"/>
      <c r="G203" s="176" t="s">
        <v>168</v>
      </c>
      <c r="H203" s="171"/>
      <c r="I203" s="171"/>
      <c r="J203" s="171"/>
      <c r="K203" s="174"/>
      <c r="L203" s="165"/>
      <c r="M203" s="165"/>
    </row>
    <row r="204" spans="1:13" x14ac:dyDescent="0.3">
      <c r="B204" s="41"/>
      <c r="C204" s="1"/>
      <c r="D204" s="1"/>
      <c r="E204" s="1"/>
      <c r="F204" s="1"/>
      <c r="G204" s="1"/>
      <c r="H204" s="1"/>
      <c r="I204" s="1"/>
      <c r="J204" s="1"/>
      <c r="K204" s="48"/>
    </row>
    <row r="205" spans="1:13" x14ac:dyDescent="0.3">
      <c r="B205" s="41"/>
      <c r="C205" s="1"/>
      <c r="D205" s="1"/>
      <c r="E205" s="1"/>
      <c r="F205" s="1"/>
      <c r="G205" s="1"/>
      <c r="H205" s="1"/>
      <c r="I205" s="1"/>
      <c r="J205" s="1"/>
      <c r="K205" s="48"/>
    </row>
    <row r="206" spans="1:13" x14ac:dyDescent="0.3">
      <c r="B206" s="41"/>
      <c r="C206" s="1"/>
      <c r="D206" s="1"/>
      <c r="E206" s="1"/>
      <c r="F206" s="1"/>
      <c r="G206" s="1"/>
      <c r="H206" s="1"/>
      <c r="I206" s="1"/>
      <c r="J206" s="1"/>
      <c r="K206" s="48"/>
    </row>
    <row r="207" spans="1:13" x14ac:dyDescent="0.3">
      <c r="B207" s="41"/>
      <c r="C207" s="1"/>
      <c r="D207" s="1"/>
      <c r="E207" s="1"/>
      <c r="F207" s="1"/>
      <c r="G207" s="1"/>
      <c r="H207" s="1"/>
      <c r="I207" s="1"/>
      <c r="J207" s="1"/>
      <c r="K207" s="48"/>
    </row>
    <row r="208" spans="1:13" ht="21" x14ac:dyDescent="0.3">
      <c r="B208" s="49"/>
      <c r="C208" s="49"/>
      <c r="D208" s="49"/>
      <c r="E208" s="49"/>
      <c r="F208" s="49"/>
      <c r="G208" s="49"/>
      <c r="H208" s="49"/>
      <c r="I208" s="49"/>
      <c r="J208" s="1"/>
      <c r="K208" s="49"/>
    </row>
    <row r="213" spans="5:7" x14ac:dyDescent="0.3">
      <c r="E213" s="259">
        <f>E10+E39+E109+E111+E113</f>
        <v>3095</v>
      </c>
      <c r="G213" s="259">
        <f>G174+G162+G159+G113+G111+G109+G39+G10</f>
        <v>3934.8225400000001</v>
      </c>
    </row>
    <row r="216" spans="5:7" x14ac:dyDescent="0.3">
      <c r="E216" s="42">
        <f>1430+1665</f>
        <v>3095</v>
      </c>
      <c r="G216" s="259">
        <f>3231953.77+259000+443868.77</f>
        <v>3934822.54</v>
      </c>
    </row>
    <row r="217" spans="5:7" x14ac:dyDescent="0.3">
      <c r="E217" s="259">
        <f>E216-E213</f>
        <v>0</v>
      </c>
      <c r="G217" s="259">
        <f>G216/1000-G213</f>
        <v>0</v>
      </c>
    </row>
    <row r="222" spans="5:7" x14ac:dyDescent="0.3">
      <c r="G222" s="42">
        <f>20996.26+43926.66+199576.1+74666.9+104702.85</f>
        <v>443868.77</v>
      </c>
    </row>
  </sheetData>
  <mergeCells count="6">
    <mergeCell ref="A6:L6"/>
    <mergeCell ref="A1:L1"/>
    <mergeCell ref="A2:L2"/>
    <mergeCell ref="A3:H3"/>
    <mergeCell ref="A4:L4"/>
    <mergeCell ref="A5:L5"/>
  </mergeCells>
  <phoneticPr fontId="26" type="noConversion"/>
  <dataValidations count="1">
    <dataValidation type="list" showInputMessage="1" prompt="Выберите диапазон из списка" sqref="K195:K196 K176:K179 K182:K193 K11:K24" xr:uid="{37F183F6-862F-4012-9968-B38CE2728D05}">
      <formula1>Диапазон</formula1>
    </dataValidation>
  </dataValidations>
  <printOptions horizontalCentered="1"/>
  <pageMargins left="0" right="0" top="0.39370078740157483" bottom="0" header="0.31496062992125984" footer="0.31496062992125984"/>
  <pageSetup paperSize="9" scale="38" fitToHeight="0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W287"/>
  <sheetViews>
    <sheetView view="pageBreakPreview" topLeftCell="A181" zoomScale="70" zoomScaleNormal="70" zoomScaleSheetLayoutView="70" workbookViewId="0">
      <selection activeCell="E7" sqref="E7"/>
    </sheetView>
  </sheetViews>
  <sheetFormatPr defaultColWidth="9.109375" defaultRowHeight="15.6" outlineLevelRow="3" x14ac:dyDescent="0.3"/>
  <cols>
    <col min="1" max="1" width="14.33203125" style="146" bestFit="1" customWidth="1"/>
    <col min="2" max="2" width="59.33203125" style="146" customWidth="1"/>
    <col min="3" max="3" width="10.44140625" style="146" bestFit="1" customWidth="1"/>
    <col min="4" max="4" width="13.5546875" style="146" bestFit="1" customWidth="1"/>
    <col min="5" max="5" width="16.5546875" style="146" customWidth="1"/>
    <col min="6" max="6" width="23.44140625" style="146" customWidth="1"/>
    <col min="7" max="7" width="18.44140625" style="146" customWidth="1"/>
    <col min="8" max="9" width="17.6640625" style="146" customWidth="1"/>
    <col min="10" max="10" width="25.6640625" style="146" customWidth="1"/>
    <col min="11" max="11" width="26.109375" style="146" customWidth="1"/>
    <col min="12" max="12" width="20.33203125" style="146" customWidth="1"/>
    <col min="13" max="13" width="81.109375" style="84" customWidth="1"/>
    <col min="14" max="14" width="23" style="48" bestFit="1" customWidth="1"/>
    <col min="15" max="15" width="29.33203125" style="48" bestFit="1" customWidth="1"/>
    <col min="16" max="16" width="53.6640625" style="48" customWidth="1"/>
    <col min="17" max="17" width="81.109375" style="48" customWidth="1"/>
    <col min="18" max="18" width="60.109375" style="48" customWidth="1"/>
    <col min="19" max="19" width="23.5546875" style="48" customWidth="1"/>
    <col min="20" max="20" width="79.33203125" style="48" customWidth="1"/>
    <col min="21" max="21" width="80.109375" style="48" customWidth="1"/>
    <col min="22" max="22" width="46.88671875" style="83" customWidth="1"/>
    <col min="23" max="23" width="35.44140625" style="83" customWidth="1"/>
    <col min="24" max="16384" width="9.109375" style="48"/>
  </cols>
  <sheetData>
    <row r="1" spans="1:23" x14ac:dyDescent="0.3">
      <c r="A1" s="424" t="s">
        <v>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8"/>
      <c r="V1" s="48"/>
      <c r="W1" s="48"/>
    </row>
    <row r="2" spans="1:23" ht="104.25" customHeight="1" x14ac:dyDescent="0.3">
      <c r="A2" s="424" t="s">
        <v>814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8"/>
      <c r="V2" s="48"/>
      <c r="W2" s="48"/>
    </row>
    <row r="3" spans="1:23" x14ac:dyDescent="0.3">
      <c r="A3" s="425"/>
      <c r="B3" s="425"/>
      <c r="C3" s="425"/>
      <c r="D3" s="425"/>
      <c r="E3" s="425"/>
      <c r="F3" s="425"/>
      <c r="G3" s="425"/>
      <c r="H3" s="425"/>
      <c r="M3" s="48"/>
      <c r="V3" s="48"/>
      <c r="W3" s="48"/>
    </row>
    <row r="4" spans="1:23" ht="77.25" customHeight="1" x14ac:dyDescent="0.3">
      <c r="A4" s="426" t="s">
        <v>573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50"/>
      <c r="V4" s="48"/>
      <c r="W4" s="48"/>
    </row>
    <row r="5" spans="1:23" ht="26.25" customHeight="1" x14ac:dyDescent="0.3">
      <c r="A5" s="425" t="s">
        <v>1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8"/>
      <c r="V5" s="48"/>
      <c r="W5" s="48"/>
    </row>
    <row r="6" spans="1:23" ht="21.6" thickBot="1" x14ac:dyDescent="0.35">
      <c r="A6" s="423" t="s">
        <v>159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8"/>
      <c r="V6" s="48"/>
      <c r="W6" s="48"/>
    </row>
    <row r="7" spans="1:23" s="273" customFormat="1" ht="187.8" thickBot="1" x14ac:dyDescent="0.35">
      <c r="A7" s="346" t="s">
        <v>3</v>
      </c>
      <c r="B7" s="347" t="s">
        <v>4</v>
      </c>
      <c r="C7" s="346" t="s">
        <v>5</v>
      </c>
      <c r="D7" s="348" t="s">
        <v>6</v>
      </c>
      <c r="E7" s="349" t="s">
        <v>7</v>
      </c>
      <c r="F7" s="349" t="s">
        <v>8</v>
      </c>
      <c r="G7" s="349" t="s">
        <v>9</v>
      </c>
      <c r="H7" s="349" t="s">
        <v>10</v>
      </c>
      <c r="I7" s="349" t="s">
        <v>11</v>
      </c>
      <c r="J7" s="349" t="s">
        <v>12</v>
      </c>
      <c r="K7" s="349" t="s">
        <v>13</v>
      </c>
      <c r="L7" s="350" t="s">
        <v>14</v>
      </c>
      <c r="M7" s="351" t="s">
        <v>62</v>
      </c>
      <c r="N7" s="272"/>
      <c r="O7" s="272"/>
      <c r="P7" s="272"/>
      <c r="Q7" s="272"/>
      <c r="R7" s="272"/>
      <c r="S7" s="272"/>
      <c r="T7" s="272"/>
      <c r="U7" s="272"/>
      <c r="V7" s="272"/>
      <c r="W7" s="272"/>
    </row>
    <row r="8" spans="1:23" s="358" customFormat="1" ht="16.2" thickBot="1" x14ac:dyDescent="0.35">
      <c r="A8" s="352">
        <v>1</v>
      </c>
      <c r="B8" s="353">
        <v>2</v>
      </c>
      <c r="C8" s="352">
        <v>3</v>
      </c>
      <c r="D8" s="354">
        <v>4</v>
      </c>
      <c r="E8" s="355">
        <v>5</v>
      </c>
      <c r="F8" s="355">
        <v>6</v>
      </c>
      <c r="G8" s="355">
        <v>7</v>
      </c>
      <c r="H8" s="355">
        <v>8</v>
      </c>
      <c r="I8" s="355">
        <v>9</v>
      </c>
      <c r="J8" s="355">
        <v>10</v>
      </c>
      <c r="K8" s="355">
        <v>11</v>
      </c>
      <c r="L8" s="356">
        <v>12</v>
      </c>
      <c r="M8" s="271"/>
      <c r="N8" s="357"/>
      <c r="O8" s="357"/>
      <c r="P8" s="357"/>
      <c r="Q8" s="357"/>
      <c r="R8" s="357"/>
      <c r="S8" s="357"/>
      <c r="T8" s="357"/>
      <c r="U8" s="357"/>
      <c r="V8" s="357"/>
      <c r="W8" s="357"/>
    </row>
    <row r="9" spans="1:23" s="363" customFormat="1" ht="24" thickBot="1" x14ac:dyDescent="0.5">
      <c r="A9" s="359" t="s">
        <v>15</v>
      </c>
      <c r="B9" s="360" t="s">
        <v>16</v>
      </c>
      <c r="C9" s="361" t="s">
        <v>17</v>
      </c>
      <c r="D9" s="361" t="s">
        <v>17</v>
      </c>
      <c r="E9" s="361" t="s">
        <v>17</v>
      </c>
      <c r="F9" s="361" t="s">
        <v>17</v>
      </c>
      <c r="G9" s="361" t="s">
        <v>17</v>
      </c>
      <c r="H9" s="361" t="s">
        <v>17</v>
      </c>
      <c r="I9" s="361" t="s">
        <v>17</v>
      </c>
      <c r="J9" s="361" t="s">
        <v>17</v>
      </c>
      <c r="K9" s="361" t="s">
        <v>17</v>
      </c>
      <c r="L9" s="362" t="s">
        <v>17</v>
      </c>
      <c r="M9" s="271"/>
    </row>
    <row r="10" spans="1:23" s="273" customFormat="1" ht="72.599999999999994" thickBot="1" x14ac:dyDescent="0.35">
      <c r="A10" s="364" t="s">
        <v>19</v>
      </c>
      <c r="B10" s="365" t="s">
        <v>18</v>
      </c>
      <c r="C10" s="366"/>
      <c r="D10" s="366" t="s">
        <v>26</v>
      </c>
      <c r="E10" s="367">
        <f>SUM(E11:E39)</f>
        <v>3224</v>
      </c>
      <c r="F10" s="367">
        <f>SUM(F11:F39)</f>
        <v>597.1</v>
      </c>
      <c r="G10" s="367">
        <f>SUM(G11:G39)</f>
        <v>1352.5559699999999</v>
      </c>
      <c r="H10" s="367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0.41952728598014882</v>
      </c>
      <c r="I10" s="366" t="s">
        <v>17</v>
      </c>
      <c r="J10" s="366" t="s">
        <v>17</v>
      </c>
      <c r="K10" s="366" t="s">
        <v>17</v>
      </c>
      <c r="L10" s="368" t="s">
        <v>17</v>
      </c>
      <c r="M10" s="271"/>
      <c r="N10" s="272"/>
      <c r="O10" s="272"/>
      <c r="P10" s="272"/>
      <c r="Q10" s="272"/>
      <c r="R10" s="272"/>
      <c r="S10" s="272"/>
      <c r="T10" s="272"/>
      <c r="U10" s="272"/>
      <c r="V10" s="272"/>
      <c r="W10" s="272"/>
    </row>
    <row r="11" spans="1:23" s="273" customFormat="1" ht="35.4" customHeight="1" x14ac:dyDescent="0.3">
      <c r="A11" s="311" t="s">
        <v>19</v>
      </c>
      <c r="B11" s="315" t="s">
        <v>636</v>
      </c>
      <c r="C11" s="327">
        <v>2021</v>
      </c>
      <c r="D11" s="327">
        <v>0.4</v>
      </c>
      <c r="E11" s="328">
        <v>50</v>
      </c>
      <c r="F11" s="369">
        <v>7.5</v>
      </c>
      <c r="G11" s="332">
        <v>12.48171</v>
      </c>
      <c r="H11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0.2496342</v>
      </c>
      <c r="I11" s="320" t="s">
        <v>583</v>
      </c>
      <c r="J11" s="321" t="s">
        <v>584</v>
      </c>
      <c r="K11" s="370" t="s">
        <v>163</v>
      </c>
      <c r="L11" s="270" t="s">
        <v>164</v>
      </c>
      <c r="M11" s="271"/>
      <c r="N11" s="272"/>
      <c r="O11" s="272"/>
      <c r="P11" s="272"/>
      <c r="Q11" s="272"/>
      <c r="R11" s="272"/>
      <c r="S11" s="272"/>
      <c r="T11" s="272"/>
      <c r="U11" s="272"/>
      <c r="V11" s="272"/>
      <c r="W11" s="272"/>
    </row>
    <row r="12" spans="1:23" s="273" customFormat="1" ht="35.4" customHeight="1" x14ac:dyDescent="0.3">
      <c r="A12" s="311" t="s">
        <v>19</v>
      </c>
      <c r="B12" s="315" t="s">
        <v>640</v>
      </c>
      <c r="C12" s="327">
        <v>2021</v>
      </c>
      <c r="D12" s="327">
        <v>0.4</v>
      </c>
      <c r="E12" s="328">
        <v>130</v>
      </c>
      <c r="F12" s="369">
        <v>7.5</v>
      </c>
      <c r="G12" s="332">
        <v>46.674900000000001</v>
      </c>
      <c r="H12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0.35903769230769234</v>
      </c>
      <c r="I12" s="320" t="s">
        <v>585</v>
      </c>
      <c r="J12" s="321" t="s">
        <v>584</v>
      </c>
      <c r="K12" s="370" t="s">
        <v>163</v>
      </c>
      <c r="L12" s="270" t="s">
        <v>164</v>
      </c>
      <c r="M12" s="271"/>
      <c r="N12" s="272"/>
      <c r="O12" s="272"/>
      <c r="P12" s="272"/>
      <c r="Q12" s="272"/>
      <c r="R12" s="272"/>
      <c r="S12" s="272"/>
      <c r="T12" s="272"/>
      <c r="U12" s="272"/>
      <c r="V12" s="272"/>
      <c r="W12" s="272"/>
    </row>
    <row r="13" spans="1:23" s="273" customFormat="1" ht="35.4" customHeight="1" x14ac:dyDescent="0.3">
      <c r="A13" s="311" t="s">
        <v>19</v>
      </c>
      <c r="B13" s="315" t="s">
        <v>636</v>
      </c>
      <c r="C13" s="327">
        <v>2021</v>
      </c>
      <c r="D13" s="327">
        <v>0.4</v>
      </c>
      <c r="E13" s="328">
        <v>40</v>
      </c>
      <c r="F13" s="369">
        <v>10</v>
      </c>
      <c r="G13" s="332">
        <v>13.60981</v>
      </c>
      <c r="H13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0.34024525</v>
      </c>
      <c r="I13" s="320" t="s">
        <v>586</v>
      </c>
      <c r="J13" s="321" t="s">
        <v>587</v>
      </c>
      <c r="K13" s="370" t="s">
        <v>163</v>
      </c>
      <c r="L13" s="270" t="s">
        <v>164</v>
      </c>
      <c r="M13" s="271"/>
      <c r="N13" s="272"/>
      <c r="O13" s="272"/>
      <c r="P13" s="272"/>
      <c r="Q13" s="272"/>
      <c r="R13" s="272"/>
      <c r="S13" s="272"/>
      <c r="T13" s="272"/>
      <c r="U13" s="272"/>
      <c r="V13" s="272"/>
      <c r="W13" s="272"/>
    </row>
    <row r="14" spans="1:23" s="273" customFormat="1" ht="35.4" customHeight="1" x14ac:dyDescent="0.3">
      <c r="A14" s="311" t="s">
        <v>19</v>
      </c>
      <c r="B14" s="315" t="s">
        <v>636</v>
      </c>
      <c r="C14" s="327">
        <v>2021</v>
      </c>
      <c r="D14" s="327">
        <v>0.4</v>
      </c>
      <c r="E14" s="328">
        <v>100</v>
      </c>
      <c r="F14" s="369">
        <v>10</v>
      </c>
      <c r="G14" s="332">
        <v>23.964089999999999</v>
      </c>
      <c r="H14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0.23964089999999999</v>
      </c>
      <c r="I14" s="320" t="s">
        <v>588</v>
      </c>
      <c r="J14" s="321" t="s">
        <v>589</v>
      </c>
      <c r="K14" s="370" t="s">
        <v>163</v>
      </c>
      <c r="L14" s="270" t="s">
        <v>164</v>
      </c>
      <c r="M14" s="271"/>
      <c r="N14" s="272"/>
      <c r="O14" s="272"/>
      <c r="P14" s="272"/>
      <c r="Q14" s="272"/>
      <c r="R14" s="272"/>
      <c r="S14" s="272"/>
      <c r="T14" s="272"/>
      <c r="U14" s="272"/>
      <c r="V14" s="272"/>
      <c r="W14" s="272"/>
    </row>
    <row r="15" spans="1:23" s="273" customFormat="1" ht="35.4" customHeight="1" x14ac:dyDescent="0.3">
      <c r="A15" s="311" t="s">
        <v>19</v>
      </c>
      <c r="B15" s="315" t="s">
        <v>641</v>
      </c>
      <c r="C15" s="327">
        <v>2021</v>
      </c>
      <c r="D15" s="327">
        <v>0.4</v>
      </c>
      <c r="E15" s="328">
        <v>55</v>
      </c>
      <c r="F15" s="369">
        <v>15</v>
      </c>
      <c r="G15" s="332">
        <v>12.267379999999999</v>
      </c>
      <c r="H15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0.2230432727272727</v>
      </c>
      <c r="I15" s="320" t="s">
        <v>590</v>
      </c>
      <c r="J15" s="321" t="s">
        <v>591</v>
      </c>
      <c r="K15" s="370" t="s">
        <v>163</v>
      </c>
      <c r="L15" s="270" t="s">
        <v>164</v>
      </c>
      <c r="M15" s="271"/>
      <c r="N15" s="272"/>
      <c r="O15" s="272"/>
      <c r="P15" s="272"/>
      <c r="Q15" s="272"/>
      <c r="R15" s="272"/>
      <c r="S15" s="272"/>
      <c r="T15" s="272"/>
      <c r="U15" s="272"/>
      <c r="V15" s="272"/>
      <c r="W15" s="272"/>
    </row>
    <row r="16" spans="1:23" s="273" customFormat="1" ht="35.4" customHeight="1" x14ac:dyDescent="0.3">
      <c r="A16" s="311" t="s">
        <v>19</v>
      </c>
      <c r="B16" s="315" t="s">
        <v>636</v>
      </c>
      <c r="C16" s="327">
        <v>2021</v>
      </c>
      <c r="D16" s="327">
        <v>0.4</v>
      </c>
      <c r="E16" s="328">
        <v>67</v>
      </c>
      <c r="F16" s="369">
        <v>15</v>
      </c>
      <c r="G16" s="332">
        <v>17.116900000000001</v>
      </c>
      <c r="H16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0.25547611940298509</v>
      </c>
      <c r="I16" s="320" t="s">
        <v>592</v>
      </c>
      <c r="J16" s="321" t="s">
        <v>593</v>
      </c>
      <c r="K16" s="370" t="s">
        <v>163</v>
      </c>
      <c r="L16" s="270" t="s">
        <v>164</v>
      </c>
      <c r="M16" s="271"/>
      <c r="N16" s="272"/>
      <c r="O16" s="272"/>
      <c r="P16" s="272"/>
      <c r="Q16" s="272"/>
      <c r="R16" s="272"/>
      <c r="S16" s="272"/>
      <c r="T16" s="272"/>
      <c r="U16" s="272"/>
      <c r="V16" s="272"/>
      <c r="W16" s="272"/>
    </row>
    <row r="17" spans="1:23" s="273" customFormat="1" ht="35.4" customHeight="1" x14ac:dyDescent="0.3">
      <c r="A17" s="311" t="s">
        <v>19</v>
      </c>
      <c r="B17" s="315" t="s">
        <v>636</v>
      </c>
      <c r="C17" s="327">
        <v>2021</v>
      </c>
      <c r="D17" s="327">
        <v>0.4</v>
      </c>
      <c r="E17" s="328">
        <v>42</v>
      </c>
      <c r="F17" s="369">
        <v>15</v>
      </c>
      <c r="G17" s="332">
        <v>10.254479999999999</v>
      </c>
      <c r="H17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0.24415428571428568</v>
      </c>
      <c r="I17" s="320" t="s">
        <v>594</v>
      </c>
      <c r="J17" s="321" t="s">
        <v>595</v>
      </c>
      <c r="K17" s="370" t="s">
        <v>163</v>
      </c>
      <c r="L17" s="270" t="s">
        <v>164</v>
      </c>
      <c r="M17" s="271"/>
      <c r="N17" s="272"/>
      <c r="O17" s="272"/>
      <c r="P17" s="272"/>
      <c r="Q17" s="272"/>
      <c r="R17" s="272"/>
      <c r="S17" s="272"/>
      <c r="T17" s="272"/>
      <c r="U17" s="272"/>
      <c r="V17" s="272"/>
      <c r="W17" s="272"/>
    </row>
    <row r="18" spans="1:23" s="273" customFormat="1" ht="35.4" customHeight="1" x14ac:dyDescent="0.3">
      <c r="A18" s="311" t="s">
        <v>19</v>
      </c>
      <c r="B18" s="315" t="s">
        <v>636</v>
      </c>
      <c r="C18" s="327">
        <v>2021</v>
      </c>
      <c r="D18" s="327">
        <v>0.4</v>
      </c>
      <c r="E18" s="328">
        <v>60</v>
      </c>
      <c r="F18" s="369">
        <v>15</v>
      </c>
      <c r="G18" s="332">
        <v>16.416430000000002</v>
      </c>
      <c r="H18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0.27360716666666668</v>
      </c>
      <c r="I18" s="320" t="s">
        <v>596</v>
      </c>
      <c r="J18" s="321" t="s">
        <v>597</v>
      </c>
      <c r="K18" s="370" t="s">
        <v>163</v>
      </c>
      <c r="L18" s="270" t="s">
        <v>164</v>
      </c>
      <c r="M18" s="271"/>
      <c r="N18" s="272"/>
      <c r="O18" s="272"/>
      <c r="P18" s="272"/>
      <c r="Q18" s="272"/>
      <c r="R18" s="272"/>
      <c r="S18" s="272"/>
      <c r="T18" s="272"/>
      <c r="U18" s="272"/>
      <c r="V18" s="272"/>
      <c r="W18" s="272"/>
    </row>
    <row r="19" spans="1:23" s="273" customFormat="1" ht="35.4" customHeight="1" x14ac:dyDescent="0.3">
      <c r="A19" s="311" t="s">
        <v>19</v>
      </c>
      <c r="B19" s="315" t="s">
        <v>636</v>
      </c>
      <c r="C19" s="327">
        <v>2021</v>
      </c>
      <c r="D19" s="327">
        <v>0.4</v>
      </c>
      <c r="E19" s="328">
        <v>130</v>
      </c>
      <c r="F19" s="369">
        <v>15</v>
      </c>
      <c r="G19" s="332">
        <v>36.237679999999997</v>
      </c>
      <c r="H19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0.27875138461538462</v>
      </c>
      <c r="I19" s="371" t="s">
        <v>598</v>
      </c>
      <c r="J19" s="321" t="s">
        <v>599</v>
      </c>
      <c r="K19" s="372" t="s">
        <v>163</v>
      </c>
      <c r="L19" s="312" t="s">
        <v>164</v>
      </c>
      <c r="M19" s="271"/>
      <c r="N19" s="272"/>
      <c r="O19" s="272"/>
      <c r="P19" s="272"/>
      <c r="Q19" s="272"/>
      <c r="R19" s="272"/>
      <c r="S19" s="272"/>
      <c r="T19" s="272"/>
      <c r="U19" s="272"/>
      <c r="V19" s="272"/>
      <c r="W19" s="272"/>
    </row>
    <row r="20" spans="1:23" s="273" customFormat="1" ht="35.4" customHeight="1" x14ac:dyDescent="0.3">
      <c r="A20" s="311" t="s">
        <v>19</v>
      </c>
      <c r="B20" s="315" t="s">
        <v>636</v>
      </c>
      <c r="C20" s="327">
        <v>2021</v>
      </c>
      <c r="D20" s="327">
        <v>0.4</v>
      </c>
      <c r="E20" s="328">
        <v>100</v>
      </c>
      <c r="F20" s="369">
        <v>40</v>
      </c>
      <c r="G20" s="332">
        <v>28.380490000000002</v>
      </c>
      <c r="H20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0.28380490000000003</v>
      </c>
      <c r="I20" s="371" t="s">
        <v>600</v>
      </c>
      <c r="J20" s="321" t="s">
        <v>601</v>
      </c>
      <c r="K20" s="263" t="s">
        <v>165</v>
      </c>
      <c r="L20" s="312" t="s">
        <v>164</v>
      </c>
      <c r="M20" s="271"/>
      <c r="N20" s="272"/>
      <c r="O20" s="272"/>
      <c r="P20" s="272"/>
      <c r="Q20" s="272"/>
      <c r="R20" s="272"/>
      <c r="S20" s="272"/>
      <c r="T20" s="272"/>
      <c r="U20" s="272"/>
      <c r="V20" s="272"/>
      <c r="W20" s="272"/>
    </row>
    <row r="21" spans="1:23" s="273" customFormat="1" ht="35.4" customHeight="1" x14ac:dyDescent="0.3">
      <c r="A21" s="311" t="s">
        <v>19</v>
      </c>
      <c r="B21" s="315" t="s">
        <v>636</v>
      </c>
      <c r="C21" s="327">
        <v>2021</v>
      </c>
      <c r="D21" s="327">
        <v>0.4</v>
      </c>
      <c r="E21" s="328">
        <v>200</v>
      </c>
      <c r="F21" s="369">
        <v>80</v>
      </c>
      <c r="G21" s="332">
        <v>73.538699999999992</v>
      </c>
      <c r="H21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0.36769349999999995</v>
      </c>
      <c r="I21" s="371" t="s">
        <v>602</v>
      </c>
      <c r="J21" s="321" t="s">
        <v>603</v>
      </c>
      <c r="K21" s="263" t="s">
        <v>165</v>
      </c>
      <c r="L21" s="312" t="s">
        <v>164</v>
      </c>
      <c r="M21" s="271"/>
      <c r="N21" s="272"/>
      <c r="O21" s="272"/>
      <c r="P21" s="272"/>
      <c r="Q21" s="272"/>
      <c r="R21" s="272"/>
      <c r="S21" s="272"/>
      <c r="T21" s="272"/>
      <c r="U21" s="272"/>
      <c r="V21" s="272"/>
      <c r="W21" s="272"/>
    </row>
    <row r="22" spans="1:23" s="273" customFormat="1" ht="35.4" customHeight="1" x14ac:dyDescent="0.3">
      <c r="A22" s="311" t="s">
        <v>19</v>
      </c>
      <c r="B22" s="315" t="s">
        <v>636</v>
      </c>
      <c r="C22" s="327">
        <v>2021</v>
      </c>
      <c r="D22" s="327">
        <v>0.4</v>
      </c>
      <c r="E22" s="328">
        <v>220</v>
      </c>
      <c r="F22" s="328">
        <v>7.5</v>
      </c>
      <c r="G22" s="328">
        <v>89.019469999999998</v>
      </c>
      <c r="H22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0.40463395454545453</v>
      </c>
      <c r="I22" s="268" t="s">
        <v>608</v>
      </c>
      <c r="J22" s="321" t="s">
        <v>584</v>
      </c>
      <c r="K22" s="372" t="s">
        <v>163</v>
      </c>
      <c r="L22" s="312" t="s">
        <v>164</v>
      </c>
      <c r="M22" s="271"/>
      <c r="N22" s="272"/>
      <c r="O22" s="272"/>
      <c r="P22" s="272"/>
      <c r="Q22" s="272"/>
      <c r="R22" s="272"/>
      <c r="S22" s="272"/>
      <c r="T22" s="272"/>
      <c r="U22" s="272"/>
      <c r="V22" s="272"/>
      <c r="W22" s="272"/>
    </row>
    <row r="23" spans="1:23" s="273" customFormat="1" ht="35.4" customHeight="1" x14ac:dyDescent="0.3">
      <c r="A23" s="311" t="s">
        <v>19</v>
      </c>
      <c r="B23" s="315" t="s">
        <v>636</v>
      </c>
      <c r="C23" s="327">
        <v>2021</v>
      </c>
      <c r="D23" s="327">
        <v>0.4</v>
      </c>
      <c r="E23" s="328">
        <v>50</v>
      </c>
      <c r="F23" s="328">
        <v>8</v>
      </c>
      <c r="G23" s="328">
        <v>30.207360000000001</v>
      </c>
      <c r="H23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0.6041472</v>
      </c>
      <c r="I23" s="320" t="s">
        <v>609</v>
      </c>
      <c r="J23" s="321" t="s">
        <v>267</v>
      </c>
      <c r="K23" s="372" t="s">
        <v>163</v>
      </c>
      <c r="L23" s="270" t="s">
        <v>164</v>
      </c>
      <c r="M23" s="271"/>
      <c r="N23" s="272"/>
      <c r="O23" s="272"/>
      <c r="P23" s="272"/>
      <c r="Q23" s="272"/>
      <c r="R23" s="272"/>
      <c r="S23" s="272"/>
      <c r="T23" s="272"/>
      <c r="U23" s="272"/>
      <c r="V23" s="272"/>
      <c r="W23" s="272"/>
    </row>
    <row r="24" spans="1:23" s="273" customFormat="1" ht="35.4" customHeight="1" x14ac:dyDescent="0.3">
      <c r="A24" s="311" t="s">
        <v>19</v>
      </c>
      <c r="B24" s="315" t="s">
        <v>636</v>
      </c>
      <c r="C24" s="327">
        <v>2021</v>
      </c>
      <c r="D24" s="327">
        <v>0.4</v>
      </c>
      <c r="E24" s="328">
        <v>180</v>
      </c>
      <c r="F24" s="328">
        <v>10</v>
      </c>
      <c r="G24" s="328">
        <v>58.457089999999994</v>
      </c>
      <c r="H24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0.32476161111111107</v>
      </c>
      <c r="I24" s="320" t="s">
        <v>610</v>
      </c>
      <c r="J24" s="321" t="s">
        <v>611</v>
      </c>
      <c r="K24" s="372" t="s">
        <v>163</v>
      </c>
      <c r="L24" s="270" t="s">
        <v>164</v>
      </c>
      <c r="M24" s="271"/>
      <c r="N24" s="272"/>
      <c r="O24" s="272"/>
      <c r="P24" s="272"/>
      <c r="Q24" s="272"/>
      <c r="R24" s="272"/>
      <c r="S24" s="272"/>
      <c r="T24" s="272"/>
      <c r="U24" s="272"/>
      <c r="V24" s="272"/>
      <c r="W24" s="272"/>
    </row>
    <row r="25" spans="1:23" s="273" customFormat="1" ht="35.4" customHeight="1" x14ac:dyDescent="0.3">
      <c r="A25" s="311" t="s">
        <v>19</v>
      </c>
      <c r="B25" s="315" t="s">
        <v>636</v>
      </c>
      <c r="C25" s="327">
        <v>2021</v>
      </c>
      <c r="D25" s="327">
        <v>0.23</v>
      </c>
      <c r="E25" s="328">
        <v>140</v>
      </c>
      <c r="F25" s="328">
        <v>10</v>
      </c>
      <c r="G25" s="328">
        <v>81.801310000000001</v>
      </c>
      <c r="H25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0.5842950714285714</v>
      </c>
      <c r="I25" s="320" t="s">
        <v>612</v>
      </c>
      <c r="J25" s="321" t="s">
        <v>613</v>
      </c>
      <c r="K25" s="372" t="s">
        <v>163</v>
      </c>
      <c r="L25" s="270" t="s">
        <v>164</v>
      </c>
      <c r="M25" s="271"/>
      <c r="N25" s="272"/>
      <c r="O25" s="272"/>
      <c r="P25" s="272"/>
      <c r="Q25" s="272"/>
      <c r="R25" s="272"/>
      <c r="S25" s="272"/>
      <c r="T25" s="272"/>
      <c r="U25" s="272"/>
      <c r="V25" s="272"/>
      <c r="W25" s="272"/>
    </row>
    <row r="26" spans="1:23" s="273" customFormat="1" ht="35.4" customHeight="1" x14ac:dyDescent="0.3">
      <c r="A26" s="311" t="s">
        <v>19</v>
      </c>
      <c r="B26" s="315" t="s">
        <v>636</v>
      </c>
      <c r="C26" s="327">
        <v>2021</v>
      </c>
      <c r="D26" s="327">
        <v>0.4</v>
      </c>
      <c r="E26" s="328">
        <v>40</v>
      </c>
      <c r="F26" s="328">
        <v>12</v>
      </c>
      <c r="G26" s="328">
        <v>21.634540000000001</v>
      </c>
      <c r="H26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0.54086350000000005</v>
      </c>
      <c r="I26" s="320" t="s">
        <v>614</v>
      </c>
      <c r="J26" s="321" t="s">
        <v>615</v>
      </c>
      <c r="K26" s="372" t="s">
        <v>163</v>
      </c>
      <c r="L26" s="270" t="s">
        <v>164</v>
      </c>
      <c r="M26" s="271"/>
      <c r="N26" s="272"/>
      <c r="O26" s="272"/>
      <c r="P26" s="272"/>
      <c r="Q26" s="272"/>
      <c r="R26" s="272"/>
      <c r="S26" s="272"/>
      <c r="T26" s="272"/>
      <c r="U26" s="272"/>
      <c r="V26" s="272"/>
      <c r="W26" s="272"/>
    </row>
    <row r="27" spans="1:23" s="273" customFormat="1" ht="35.4" customHeight="1" x14ac:dyDescent="0.3">
      <c r="A27" s="311" t="s">
        <v>19</v>
      </c>
      <c r="B27" s="315" t="s">
        <v>636</v>
      </c>
      <c r="C27" s="327">
        <v>2021</v>
      </c>
      <c r="D27" s="327">
        <v>0.4</v>
      </c>
      <c r="E27" s="328">
        <v>110</v>
      </c>
      <c r="F27" s="328">
        <v>15</v>
      </c>
      <c r="G27" s="328">
        <v>59.305309999999999</v>
      </c>
      <c r="H27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0.53913918181818177</v>
      </c>
      <c r="I27" s="320" t="s">
        <v>616</v>
      </c>
      <c r="J27" s="321" t="s">
        <v>617</v>
      </c>
      <c r="K27" s="372" t="s">
        <v>163</v>
      </c>
      <c r="L27" s="270" t="s">
        <v>164</v>
      </c>
      <c r="M27" s="271"/>
      <c r="N27" s="272"/>
      <c r="O27" s="272"/>
      <c r="P27" s="272"/>
      <c r="Q27" s="272"/>
      <c r="R27" s="272"/>
      <c r="S27" s="272"/>
      <c r="T27" s="272"/>
      <c r="U27" s="272"/>
      <c r="V27" s="272"/>
      <c r="W27" s="272"/>
    </row>
    <row r="28" spans="1:23" s="273" customFormat="1" ht="35.4" customHeight="1" x14ac:dyDescent="0.3">
      <c r="A28" s="311" t="s">
        <v>19</v>
      </c>
      <c r="B28" s="315" t="s">
        <v>636</v>
      </c>
      <c r="C28" s="327">
        <v>2021</v>
      </c>
      <c r="D28" s="327">
        <v>0.4</v>
      </c>
      <c r="E28" s="328">
        <v>45</v>
      </c>
      <c r="F28" s="328">
        <v>15</v>
      </c>
      <c r="G28" s="328">
        <v>21.581589999999998</v>
      </c>
      <c r="H28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0.47959088888888884</v>
      </c>
      <c r="I28" s="320" t="s">
        <v>618</v>
      </c>
      <c r="J28" s="321" t="s">
        <v>619</v>
      </c>
      <c r="K28" s="372" t="s">
        <v>163</v>
      </c>
      <c r="L28" s="270" t="s">
        <v>164</v>
      </c>
      <c r="M28" s="271"/>
      <c r="N28" s="272"/>
      <c r="O28" s="272"/>
      <c r="P28" s="272"/>
      <c r="Q28" s="272"/>
      <c r="R28" s="272"/>
      <c r="S28" s="272"/>
      <c r="T28" s="272"/>
      <c r="U28" s="272"/>
      <c r="V28" s="272"/>
      <c r="W28" s="272"/>
    </row>
    <row r="29" spans="1:23" s="273" customFormat="1" ht="35.4" customHeight="1" x14ac:dyDescent="0.3">
      <c r="A29" s="311" t="s">
        <v>19</v>
      </c>
      <c r="B29" s="315" t="s">
        <v>639</v>
      </c>
      <c r="C29" s="327">
        <v>2021</v>
      </c>
      <c r="D29" s="327">
        <v>0.4</v>
      </c>
      <c r="E29" s="328">
        <v>400</v>
      </c>
      <c r="F29" s="328">
        <v>15</v>
      </c>
      <c r="G29" s="328">
        <v>112.86064999999999</v>
      </c>
      <c r="H29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0.28215162499999996</v>
      </c>
      <c r="I29" s="320" t="s">
        <v>620</v>
      </c>
      <c r="J29" s="321" t="s">
        <v>621</v>
      </c>
      <c r="K29" s="372" t="s">
        <v>163</v>
      </c>
      <c r="L29" s="270" t="s">
        <v>164</v>
      </c>
      <c r="M29" s="271"/>
      <c r="N29" s="272"/>
      <c r="O29" s="272"/>
      <c r="P29" s="272"/>
      <c r="Q29" s="272"/>
      <c r="R29" s="272"/>
      <c r="S29" s="272"/>
      <c r="T29" s="272"/>
      <c r="U29" s="272"/>
      <c r="V29" s="272"/>
      <c r="W29" s="272"/>
    </row>
    <row r="30" spans="1:23" s="273" customFormat="1" ht="35.4" customHeight="1" x14ac:dyDescent="0.3">
      <c r="A30" s="311" t="s">
        <v>19</v>
      </c>
      <c r="B30" s="315" t="s">
        <v>636</v>
      </c>
      <c r="C30" s="327">
        <v>2021</v>
      </c>
      <c r="D30" s="327">
        <v>0.4</v>
      </c>
      <c r="E30" s="328">
        <v>130</v>
      </c>
      <c r="F30" s="328">
        <v>15</v>
      </c>
      <c r="G30" s="328">
        <v>85.072860000000006</v>
      </c>
      <c r="H30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0.65440661538461542</v>
      </c>
      <c r="I30" s="320" t="s">
        <v>622</v>
      </c>
      <c r="J30" s="321" t="s">
        <v>623</v>
      </c>
      <c r="K30" s="372" t="s">
        <v>163</v>
      </c>
      <c r="L30" s="270" t="s">
        <v>164</v>
      </c>
      <c r="M30" s="271"/>
      <c r="N30" s="272"/>
      <c r="O30" s="272"/>
      <c r="P30" s="272"/>
      <c r="Q30" s="272"/>
      <c r="R30" s="272"/>
      <c r="S30" s="272"/>
      <c r="T30" s="272"/>
      <c r="U30" s="272"/>
      <c r="V30" s="272"/>
      <c r="W30" s="272"/>
    </row>
    <row r="31" spans="1:23" s="273" customFormat="1" ht="35.4" customHeight="1" x14ac:dyDescent="0.3">
      <c r="A31" s="311" t="s">
        <v>19</v>
      </c>
      <c r="B31" s="315" t="s">
        <v>636</v>
      </c>
      <c r="C31" s="327">
        <v>2021</v>
      </c>
      <c r="D31" s="327">
        <v>0.4</v>
      </c>
      <c r="E31" s="328">
        <v>300</v>
      </c>
      <c r="F31" s="328">
        <v>15</v>
      </c>
      <c r="G31" s="328">
        <v>147.37683999999999</v>
      </c>
      <c r="H31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0.49125613333333329</v>
      </c>
      <c r="I31" s="320" t="s">
        <v>624</v>
      </c>
      <c r="J31" s="321" t="s">
        <v>625</v>
      </c>
      <c r="K31" s="372" t="s">
        <v>163</v>
      </c>
      <c r="L31" s="270" t="s">
        <v>164</v>
      </c>
      <c r="M31" s="271"/>
      <c r="N31" s="272"/>
      <c r="O31" s="272"/>
      <c r="P31" s="272"/>
      <c r="Q31" s="272"/>
      <c r="R31" s="272"/>
      <c r="S31" s="272"/>
      <c r="T31" s="272"/>
      <c r="U31" s="272"/>
      <c r="V31" s="272"/>
      <c r="W31" s="272"/>
    </row>
    <row r="32" spans="1:23" s="273" customFormat="1" ht="35.4" customHeight="1" x14ac:dyDescent="0.3">
      <c r="A32" s="311" t="s">
        <v>19</v>
      </c>
      <c r="B32" s="315" t="s">
        <v>636</v>
      </c>
      <c r="C32" s="327">
        <v>2021</v>
      </c>
      <c r="D32" s="327">
        <v>0.4</v>
      </c>
      <c r="E32" s="328">
        <v>60</v>
      </c>
      <c r="F32" s="328">
        <v>15</v>
      </c>
      <c r="G32" s="328">
        <v>39.265999999999998</v>
      </c>
      <c r="H32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0.65443333333333331</v>
      </c>
      <c r="I32" s="320" t="s">
        <v>626</v>
      </c>
      <c r="J32" s="321" t="s">
        <v>627</v>
      </c>
      <c r="K32" s="372" t="s">
        <v>163</v>
      </c>
      <c r="L32" s="270" t="s">
        <v>164</v>
      </c>
      <c r="M32" s="271"/>
      <c r="N32" s="272"/>
      <c r="O32" s="272"/>
      <c r="P32" s="272"/>
      <c r="Q32" s="272"/>
      <c r="R32" s="272"/>
      <c r="S32" s="272"/>
      <c r="T32" s="272"/>
      <c r="U32" s="272"/>
      <c r="V32" s="272"/>
      <c r="W32" s="272"/>
    </row>
    <row r="33" spans="1:23" s="273" customFormat="1" ht="35.4" customHeight="1" x14ac:dyDescent="0.3">
      <c r="A33" s="311" t="s">
        <v>19</v>
      </c>
      <c r="B33" s="315" t="s">
        <v>636</v>
      </c>
      <c r="C33" s="327">
        <v>2021</v>
      </c>
      <c r="D33" s="327">
        <v>0.4</v>
      </c>
      <c r="E33" s="328">
        <v>100</v>
      </c>
      <c r="F33" s="328">
        <v>15</v>
      </c>
      <c r="G33" s="328">
        <v>50.130949999999999</v>
      </c>
      <c r="H33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0.50130949999999996</v>
      </c>
      <c r="I33" s="320" t="s">
        <v>628</v>
      </c>
      <c r="J33" s="321" t="s">
        <v>629</v>
      </c>
      <c r="K33" s="372" t="s">
        <v>163</v>
      </c>
      <c r="L33" s="270" t="s">
        <v>164</v>
      </c>
      <c r="M33" s="271"/>
      <c r="N33" s="272"/>
      <c r="O33" s="272"/>
      <c r="P33" s="272"/>
      <c r="Q33" s="272"/>
      <c r="R33" s="272"/>
      <c r="S33" s="272"/>
      <c r="T33" s="272"/>
      <c r="U33" s="272"/>
      <c r="V33" s="272"/>
      <c r="W33" s="272"/>
    </row>
    <row r="34" spans="1:23" s="273" customFormat="1" ht="31.2" x14ac:dyDescent="0.3">
      <c r="A34" s="311" t="s">
        <v>19</v>
      </c>
      <c r="B34" s="315" t="s">
        <v>636</v>
      </c>
      <c r="C34" s="327">
        <v>2021</v>
      </c>
      <c r="D34" s="327">
        <v>0.4</v>
      </c>
      <c r="E34" s="328">
        <v>100</v>
      </c>
      <c r="F34" s="328">
        <v>34.6</v>
      </c>
      <c r="G34" s="328">
        <v>41.18871</v>
      </c>
      <c r="H34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0.41188710000000001</v>
      </c>
      <c r="I34" s="320" t="s">
        <v>630</v>
      </c>
      <c r="J34" s="321" t="s">
        <v>631</v>
      </c>
      <c r="K34" s="263" t="s">
        <v>165</v>
      </c>
      <c r="L34" s="270" t="s">
        <v>164</v>
      </c>
      <c r="M34" s="271"/>
      <c r="N34" s="272"/>
      <c r="O34" s="272"/>
      <c r="P34" s="272"/>
      <c r="Q34" s="272"/>
      <c r="R34" s="272"/>
      <c r="S34" s="272"/>
      <c r="T34" s="272"/>
      <c r="U34" s="272"/>
      <c r="V34" s="272"/>
      <c r="W34" s="272"/>
    </row>
    <row r="35" spans="1:23" s="273" customFormat="1" ht="31.2" x14ac:dyDescent="0.3">
      <c r="A35" s="311" t="s">
        <v>19</v>
      </c>
      <c r="B35" s="315" t="s">
        <v>636</v>
      </c>
      <c r="C35" s="327">
        <v>2021</v>
      </c>
      <c r="D35" s="327">
        <v>0.4</v>
      </c>
      <c r="E35" s="328">
        <v>150</v>
      </c>
      <c r="F35" s="328">
        <v>80</v>
      </c>
      <c r="G35" s="328">
        <v>60.90419</v>
      </c>
      <c r="H35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0.40602793333333331</v>
      </c>
      <c r="I35" s="320" t="s">
        <v>632</v>
      </c>
      <c r="J35" s="321" t="s">
        <v>633</v>
      </c>
      <c r="K35" s="263" t="s">
        <v>165</v>
      </c>
      <c r="L35" s="270" t="s">
        <v>164</v>
      </c>
      <c r="M35" s="271"/>
      <c r="N35" s="272"/>
      <c r="O35" s="272"/>
      <c r="P35" s="272"/>
      <c r="Q35" s="272"/>
      <c r="R35" s="272"/>
      <c r="S35" s="272"/>
      <c r="T35" s="272"/>
      <c r="U35" s="272"/>
      <c r="V35" s="272"/>
      <c r="W35" s="272"/>
    </row>
    <row r="36" spans="1:23" s="273" customFormat="1" ht="31.2" x14ac:dyDescent="0.3">
      <c r="A36" s="313" t="s">
        <v>19</v>
      </c>
      <c r="B36" s="373" t="s">
        <v>636</v>
      </c>
      <c r="C36" s="327">
        <v>2021</v>
      </c>
      <c r="D36" s="327">
        <v>0.4</v>
      </c>
      <c r="E36" s="328">
        <v>200</v>
      </c>
      <c r="F36" s="328">
        <v>100</v>
      </c>
      <c r="G36" s="328">
        <v>84.945530000000005</v>
      </c>
      <c r="H36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0.42472765000000001</v>
      </c>
      <c r="I36" s="320" t="s">
        <v>634</v>
      </c>
      <c r="J36" s="321" t="s">
        <v>635</v>
      </c>
      <c r="K36" s="263" t="s">
        <v>165</v>
      </c>
      <c r="L36" s="270" t="s">
        <v>164</v>
      </c>
      <c r="M36" s="271"/>
      <c r="N36" s="272"/>
      <c r="O36" s="272"/>
      <c r="P36" s="272"/>
      <c r="Q36" s="272"/>
      <c r="R36" s="272"/>
      <c r="S36" s="272"/>
      <c r="T36" s="272"/>
      <c r="U36" s="272"/>
      <c r="V36" s="272"/>
      <c r="W36" s="272"/>
    </row>
    <row r="37" spans="1:23" s="273" customFormat="1" ht="31.2" x14ac:dyDescent="0.3">
      <c r="A37" s="313" t="s">
        <v>19</v>
      </c>
      <c r="B37" s="340" t="s">
        <v>577</v>
      </c>
      <c r="C37" s="341">
        <v>2021</v>
      </c>
      <c r="D37" s="341">
        <v>0.4</v>
      </c>
      <c r="E37" s="336">
        <v>20</v>
      </c>
      <c r="F37" s="336"/>
      <c r="G37" s="274">
        <f>19.89+22</f>
        <v>41.89</v>
      </c>
      <c r="H37" s="336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2.0945</v>
      </c>
      <c r="I37" s="342" t="s">
        <v>268</v>
      </c>
      <c r="J37" s="343" t="s">
        <v>269</v>
      </c>
      <c r="K37" s="263" t="s">
        <v>165</v>
      </c>
      <c r="L37" s="270" t="s">
        <v>164</v>
      </c>
      <c r="M37" s="271"/>
      <c r="N37" s="272"/>
      <c r="O37" s="272"/>
      <c r="P37" s="272"/>
      <c r="Q37" s="272"/>
      <c r="R37" s="272"/>
      <c r="S37" s="272"/>
      <c r="T37" s="272"/>
      <c r="U37" s="272"/>
      <c r="V37" s="272"/>
      <c r="W37" s="272"/>
    </row>
    <row r="38" spans="1:23" s="273" customFormat="1" ht="31.2" x14ac:dyDescent="0.3">
      <c r="A38" s="311" t="s">
        <v>19</v>
      </c>
      <c r="B38" s="344" t="s">
        <v>575</v>
      </c>
      <c r="C38" s="266">
        <v>2021</v>
      </c>
      <c r="D38" s="266">
        <v>6</v>
      </c>
      <c r="E38" s="267">
        <v>5</v>
      </c>
      <c r="F38" s="267"/>
      <c r="G38" s="275">
        <v>35.970999999999997</v>
      </c>
      <c r="H38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7.1941999999999995</v>
      </c>
      <c r="I38" s="345" t="s">
        <v>576</v>
      </c>
      <c r="J38" s="343" t="s">
        <v>269</v>
      </c>
      <c r="K38" s="263" t="s">
        <v>165</v>
      </c>
      <c r="L38" s="270" t="s">
        <v>164</v>
      </c>
      <c r="M38" s="271"/>
      <c r="N38" s="272"/>
      <c r="O38" s="272"/>
      <c r="P38" s="272"/>
      <c r="Q38" s="272"/>
      <c r="R38" s="272"/>
      <c r="S38" s="272"/>
      <c r="T38" s="272"/>
      <c r="U38" s="272"/>
      <c r="V38" s="272"/>
      <c r="W38" s="272"/>
    </row>
    <row r="39" spans="1:23" ht="16.2" outlineLevel="3" thickBot="1" x14ac:dyDescent="0.35">
      <c r="A39" s="13" t="s">
        <v>19</v>
      </c>
      <c r="B39" s="307"/>
      <c r="C39" s="10"/>
      <c r="D39" s="10"/>
      <c r="E39" s="14"/>
      <c r="F39" s="14"/>
      <c r="G39" s="14"/>
      <c r="H39" s="14"/>
      <c r="I39" s="15"/>
      <c r="J39" s="15"/>
      <c r="K39" s="15"/>
      <c r="L39" s="16"/>
      <c r="M39" s="58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t="72.599999999999994" thickBot="1" x14ac:dyDescent="0.35">
      <c r="A40" s="27" t="s">
        <v>21</v>
      </c>
      <c r="B40" s="28" t="s">
        <v>20</v>
      </c>
      <c r="C40" s="23"/>
      <c r="D40" s="23">
        <f>D41</f>
        <v>0.4</v>
      </c>
      <c r="E40" s="17">
        <f>SUM(E41:E106)</f>
        <v>820</v>
      </c>
      <c r="F40" s="17">
        <f>SUM(F41:F106)</f>
        <v>231</v>
      </c>
      <c r="G40" s="17">
        <f>SUM(G41:G106)</f>
        <v>518.70775000000003</v>
      </c>
      <c r="H40" s="17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0.63257042682926834</v>
      </c>
      <c r="I40" s="23" t="s">
        <v>17</v>
      </c>
      <c r="J40" s="23" t="s">
        <v>17</v>
      </c>
      <c r="K40" s="23" t="s">
        <v>17</v>
      </c>
      <c r="L40" s="24" t="s">
        <v>17</v>
      </c>
      <c r="M40" s="58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s="273" customFormat="1" ht="39" customHeight="1" x14ac:dyDescent="0.3">
      <c r="A41" s="314" t="s">
        <v>21</v>
      </c>
      <c r="B41" s="315" t="s">
        <v>636</v>
      </c>
      <c r="C41" s="316">
        <v>2021</v>
      </c>
      <c r="D41" s="317">
        <v>0.4</v>
      </c>
      <c r="E41" s="317">
        <v>300</v>
      </c>
      <c r="F41" s="318">
        <v>70</v>
      </c>
      <c r="G41" s="319">
        <v>157.92851000000002</v>
      </c>
      <c r="H41" s="31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0.5264283666666667</v>
      </c>
      <c r="I41" s="320" t="s">
        <v>604</v>
      </c>
      <c r="J41" s="321" t="s">
        <v>605</v>
      </c>
      <c r="K41" s="263" t="s">
        <v>165</v>
      </c>
      <c r="L41" s="270" t="s">
        <v>164</v>
      </c>
      <c r="M41" s="271"/>
      <c r="N41" s="272"/>
      <c r="O41" s="272"/>
      <c r="P41" s="272"/>
      <c r="Q41" s="272"/>
      <c r="R41" s="272"/>
      <c r="S41" s="272"/>
      <c r="T41" s="272"/>
      <c r="U41" s="272"/>
      <c r="V41" s="272"/>
      <c r="W41" s="272"/>
    </row>
    <row r="42" spans="1:23" s="273" customFormat="1" ht="36.6" customHeight="1" x14ac:dyDescent="0.3">
      <c r="A42" s="311" t="s">
        <v>21</v>
      </c>
      <c r="B42" s="315" t="s">
        <v>636</v>
      </c>
      <c r="C42" s="316">
        <v>2021</v>
      </c>
      <c r="D42" s="322">
        <v>0.4</v>
      </c>
      <c r="E42" s="323">
        <v>300</v>
      </c>
      <c r="F42" s="322">
        <v>95</v>
      </c>
      <c r="G42" s="319">
        <v>243.9401</v>
      </c>
      <c r="H42" s="31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0.81313366666666664</v>
      </c>
      <c r="I42" s="320" t="s">
        <v>637</v>
      </c>
      <c r="J42" s="324" t="s">
        <v>638</v>
      </c>
      <c r="K42" s="263" t="s">
        <v>165</v>
      </c>
      <c r="L42" s="270" t="s">
        <v>164</v>
      </c>
      <c r="M42" s="271"/>
      <c r="N42" s="272"/>
      <c r="O42" s="272"/>
      <c r="P42" s="272"/>
      <c r="Q42" s="272"/>
      <c r="R42" s="272"/>
      <c r="S42" s="272"/>
      <c r="T42" s="272"/>
      <c r="U42" s="272"/>
      <c r="V42" s="272"/>
      <c r="W42" s="272"/>
    </row>
    <row r="43" spans="1:23" s="273" customFormat="1" ht="31.2" x14ac:dyDescent="0.3">
      <c r="A43" s="311" t="s">
        <v>21</v>
      </c>
      <c r="B43" s="315" t="s">
        <v>636</v>
      </c>
      <c r="C43" s="316">
        <v>2021</v>
      </c>
      <c r="D43" s="322">
        <v>0.4</v>
      </c>
      <c r="E43" s="323">
        <v>220</v>
      </c>
      <c r="F43" s="325">
        <v>66</v>
      </c>
      <c r="G43" s="319">
        <v>116.83914</v>
      </c>
      <c r="H43" s="31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0.53108699999999998</v>
      </c>
      <c r="I43" s="320" t="s">
        <v>604</v>
      </c>
      <c r="J43" s="326" t="s">
        <v>605</v>
      </c>
      <c r="K43" s="263" t="s">
        <v>165</v>
      </c>
      <c r="L43" s="270" t="s">
        <v>164</v>
      </c>
      <c r="M43" s="271"/>
      <c r="N43" s="272"/>
      <c r="O43" s="272"/>
      <c r="P43" s="272"/>
      <c r="Q43" s="272"/>
      <c r="R43" s="272"/>
      <c r="S43" s="272"/>
      <c r="T43" s="272"/>
      <c r="U43" s="272"/>
      <c r="V43" s="272"/>
      <c r="W43" s="272"/>
    </row>
    <row r="44" spans="1:23" s="273" customFormat="1" ht="16.2" thickBot="1" x14ac:dyDescent="0.35">
      <c r="A44" s="311" t="s">
        <v>21</v>
      </c>
      <c r="B44" s="315"/>
      <c r="C44" s="327"/>
      <c r="D44" s="327"/>
      <c r="E44" s="328"/>
      <c r="F44" s="328"/>
      <c r="G44" s="328"/>
      <c r="H44" s="328"/>
      <c r="I44" s="327"/>
      <c r="J44" s="327"/>
      <c r="K44" s="327"/>
      <c r="L44" s="329"/>
      <c r="M44" s="271"/>
      <c r="N44" s="272"/>
      <c r="O44" s="272"/>
      <c r="P44" s="272"/>
      <c r="Q44" s="272"/>
      <c r="R44" s="272"/>
      <c r="S44" s="272"/>
      <c r="T44" s="272"/>
      <c r="U44" s="272"/>
      <c r="V44" s="272"/>
      <c r="W44" s="272"/>
    </row>
    <row r="45" spans="1:23" hidden="1" outlineLevel="1" x14ac:dyDescent="0.3">
      <c r="A45" s="11" t="s">
        <v>21</v>
      </c>
      <c r="B45" s="36"/>
      <c r="C45" s="10"/>
      <c r="D45" s="10"/>
      <c r="E45" s="9"/>
      <c r="F45" s="9"/>
      <c r="G45" s="9"/>
      <c r="H45" s="9"/>
      <c r="I45" s="10"/>
      <c r="J45" s="10"/>
      <c r="K45" s="10"/>
      <c r="L45" s="12"/>
      <c r="M45" s="58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hidden="1" outlineLevel="1" x14ac:dyDescent="0.3">
      <c r="A46" s="11" t="s">
        <v>21</v>
      </c>
      <c r="B46" s="36"/>
      <c r="C46" s="10"/>
      <c r="D46" s="10"/>
      <c r="E46" s="9"/>
      <c r="F46" s="9"/>
      <c r="G46" s="9"/>
      <c r="H46" s="9"/>
      <c r="I46" s="10"/>
      <c r="J46" s="10"/>
      <c r="K46" s="10"/>
      <c r="L46" s="12"/>
      <c r="M46" s="58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hidden="1" outlineLevel="1" x14ac:dyDescent="0.3">
      <c r="A47" s="11" t="s">
        <v>21</v>
      </c>
      <c r="B47" s="36"/>
      <c r="C47" s="10"/>
      <c r="D47" s="10"/>
      <c r="E47" s="9"/>
      <c r="F47" s="9"/>
      <c r="G47" s="9"/>
      <c r="H47" s="9"/>
      <c r="I47" s="10"/>
      <c r="J47" s="10"/>
      <c r="K47" s="10"/>
      <c r="L47" s="12"/>
      <c r="M47" s="58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hidden="1" outlineLevel="1" x14ac:dyDescent="0.3">
      <c r="A48" s="11" t="s">
        <v>21</v>
      </c>
      <c r="B48" s="36"/>
      <c r="C48" s="10"/>
      <c r="D48" s="10"/>
      <c r="E48" s="9"/>
      <c r="F48" s="9"/>
      <c r="G48" s="9"/>
      <c r="H48" s="9"/>
      <c r="I48" s="10"/>
      <c r="J48" s="10"/>
      <c r="K48" s="10"/>
      <c r="L48" s="12"/>
      <c r="M48" s="58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hidden="1" outlineLevel="1" x14ac:dyDescent="0.3">
      <c r="A49" s="11" t="s">
        <v>21</v>
      </c>
      <c r="B49" s="36"/>
      <c r="C49" s="10"/>
      <c r="D49" s="10"/>
      <c r="E49" s="9"/>
      <c r="F49" s="9"/>
      <c r="G49" s="9"/>
      <c r="H49" s="9"/>
      <c r="I49" s="10"/>
      <c r="J49" s="10"/>
      <c r="K49" s="10"/>
      <c r="L49" s="12"/>
      <c r="M49" s="58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idden="1" outlineLevel="1" x14ac:dyDescent="0.3">
      <c r="A50" s="11" t="s">
        <v>21</v>
      </c>
      <c r="B50" s="36"/>
      <c r="C50" s="10"/>
      <c r="D50" s="10"/>
      <c r="E50" s="9"/>
      <c r="F50" s="9"/>
      <c r="G50" s="9"/>
      <c r="H50" s="9"/>
      <c r="I50" s="10"/>
      <c r="J50" s="10"/>
      <c r="K50" s="10"/>
      <c r="L50" s="12"/>
      <c r="M50" s="58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idden="1" outlineLevel="1" x14ac:dyDescent="0.3">
      <c r="A51" s="11" t="s">
        <v>21</v>
      </c>
      <c r="B51" s="36"/>
      <c r="C51" s="10"/>
      <c r="D51" s="10"/>
      <c r="E51" s="9"/>
      <c r="F51" s="9"/>
      <c r="G51" s="9"/>
      <c r="H51" s="9"/>
      <c r="I51" s="10"/>
      <c r="J51" s="10"/>
      <c r="K51" s="10"/>
      <c r="L51" s="12"/>
      <c r="M51" s="58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idden="1" outlineLevel="1" x14ac:dyDescent="0.3">
      <c r="A52" s="11" t="s">
        <v>21</v>
      </c>
      <c r="B52" s="36"/>
      <c r="C52" s="10"/>
      <c r="D52" s="10"/>
      <c r="E52" s="9"/>
      <c r="F52" s="9"/>
      <c r="G52" s="9"/>
      <c r="H52" s="9"/>
      <c r="I52" s="10"/>
      <c r="J52" s="10"/>
      <c r="K52" s="10"/>
      <c r="L52" s="12"/>
      <c r="M52" s="58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idden="1" outlineLevel="1" x14ac:dyDescent="0.3">
      <c r="A53" s="11" t="s">
        <v>21</v>
      </c>
      <c r="B53" s="36"/>
      <c r="C53" s="10"/>
      <c r="D53" s="10"/>
      <c r="E53" s="9"/>
      <c r="F53" s="9"/>
      <c r="G53" s="9"/>
      <c r="H53" s="9"/>
      <c r="I53" s="10"/>
      <c r="J53" s="10"/>
      <c r="K53" s="10"/>
      <c r="L53" s="12"/>
      <c r="M53" s="58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idden="1" outlineLevel="1" x14ac:dyDescent="0.3">
      <c r="A54" s="11" t="s">
        <v>21</v>
      </c>
      <c r="B54" s="36"/>
      <c r="C54" s="10"/>
      <c r="D54" s="10"/>
      <c r="E54" s="9"/>
      <c r="F54" s="9"/>
      <c r="G54" s="9"/>
      <c r="H54" s="9"/>
      <c r="I54" s="10"/>
      <c r="J54" s="10"/>
      <c r="K54" s="10"/>
      <c r="L54" s="12"/>
      <c r="M54" s="58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hidden="1" outlineLevel="1" x14ac:dyDescent="0.3">
      <c r="A55" s="11" t="s">
        <v>21</v>
      </c>
      <c r="B55" s="36"/>
      <c r="C55" s="10"/>
      <c r="D55" s="10"/>
      <c r="E55" s="9"/>
      <c r="F55" s="9"/>
      <c r="G55" s="9"/>
      <c r="H55" s="9"/>
      <c r="I55" s="10"/>
      <c r="J55" s="10"/>
      <c r="K55" s="10"/>
      <c r="L55" s="12"/>
      <c r="M55" s="58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hidden="1" outlineLevel="1" x14ac:dyDescent="0.3">
      <c r="A56" s="11" t="s">
        <v>21</v>
      </c>
      <c r="B56" s="36"/>
      <c r="C56" s="10"/>
      <c r="D56" s="10"/>
      <c r="E56" s="9"/>
      <c r="F56" s="9"/>
      <c r="G56" s="9"/>
      <c r="H56" s="9"/>
      <c r="I56" s="10"/>
      <c r="J56" s="10"/>
      <c r="K56" s="10"/>
      <c r="L56" s="12"/>
      <c r="M56" s="58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hidden="1" outlineLevel="1" x14ac:dyDescent="0.3">
      <c r="A57" s="11" t="s">
        <v>21</v>
      </c>
      <c r="B57" s="36"/>
      <c r="C57" s="10"/>
      <c r="D57" s="10"/>
      <c r="E57" s="9"/>
      <c r="F57" s="9"/>
      <c r="G57" s="9"/>
      <c r="H57" s="9"/>
      <c r="I57" s="10"/>
      <c r="J57" s="10"/>
      <c r="K57" s="10"/>
      <c r="L57" s="12"/>
      <c r="M57" s="58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hidden="1" outlineLevel="1" x14ac:dyDescent="0.3">
      <c r="A58" s="11" t="s">
        <v>21</v>
      </c>
      <c r="B58" s="36"/>
      <c r="C58" s="10"/>
      <c r="D58" s="10"/>
      <c r="E58" s="9"/>
      <c r="F58" s="9"/>
      <c r="G58" s="9"/>
      <c r="H58" s="9"/>
      <c r="I58" s="10"/>
      <c r="J58" s="10"/>
      <c r="K58" s="10"/>
      <c r="L58" s="12"/>
      <c r="M58" s="58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hidden="1" outlineLevel="1" x14ac:dyDescent="0.3">
      <c r="A59" s="11" t="s">
        <v>21</v>
      </c>
      <c r="B59" s="36"/>
      <c r="C59" s="10"/>
      <c r="D59" s="10"/>
      <c r="E59" s="9"/>
      <c r="F59" s="9"/>
      <c r="G59" s="9"/>
      <c r="H59" s="9"/>
      <c r="I59" s="10"/>
      <c r="J59" s="10"/>
      <c r="K59" s="10"/>
      <c r="L59" s="12"/>
      <c r="M59" s="58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hidden="1" outlineLevel="1" x14ac:dyDescent="0.3">
      <c r="A60" s="11" t="s">
        <v>21</v>
      </c>
      <c r="B60" s="36"/>
      <c r="C60" s="10"/>
      <c r="D60" s="10"/>
      <c r="E60" s="9"/>
      <c r="F60" s="9"/>
      <c r="G60" s="9"/>
      <c r="H60" s="9"/>
      <c r="I60" s="10"/>
      <c r="J60" s="10"/>
      <c r="K60" s="10"/>
      <c r="L60" s="12"/>
      <c r="M60" s="58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hidden="1" outlineLevel="1" x14ac:dyDescent="0.3">
      <c r="A61" s="11" t="s">
        <v>21</v>
      </c>
      <c r="B61" s="36"/>
      <c r="C61" s="10"/>
      <c r="D61" s="10"/>
      <c r="E61" s="9"/>
      <c r="F61" s="9"/>
      <c r="G61" s="9"/>
      <c r="H61" s="9"/>
      <c r="I61" s="10"/>
      <c r="J61" s="10"/>
      <c r="K61" s="10"/>
      <c r="L61" s="12"/>
      <c r="M61" s="58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hidden="1" outlineLevel="1" x14ac:dyDescent="0.3">
      <c r="A62" s="11" t="s">
        <v>21</v>
      </c>
      <c r="B62" s="36"/>
      <c r="C62" s="10"/>
      <c r="D62" s="10"/>
      <c r="E62" s="9"/>
      <c r="F62" s="9"/>
      <c r="G62" s="9"/>
      <c r="H62" s="9"/>
      <c r="I62" s="10"/>
      <c r="J62" s="10"/>
      <c r="K62" s="10"/>
      <c r="L62" s="12"/>
      <c r="M62" s="58"/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hidden="1" outlineLevel="1" x14ac:dyDescent="0.3">
      <c r="A63" s="11" t="s">
        <v>21</v>
      </c>
      <c r="B63" s="36"/>
      <c r="C63" s="10"/>
      <c r="D63" s="10"/>
      <c r="E63" s="9"/>
      <c r="F63" s="9"/>
      <c r="G63" s="9"/>
      <c r="H63" s="9"/>
      <c r="I63" s="10"/>
      <c r="J63" s="10"/>
      <c r="K63" s="10"/>
      <c r="L63" s="12"/>
      <c r="M63" s="58"/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hidden="1" outlineLevel="1" x14ac:dyDescent="0.3">
      <c r="A64" s="11" t="s">
        <v>21</v>
      </c>
      <c r="B64" s="36"/>
      <c r="C64" s="10"/>
      <c r="D64" s="10"/>
      <c r="E64" s="9"/>
      <c r="F64" s="9"/>
      <c r="G64" s="9"/>
      <c r="H64" s="9"/>
      <c r="I64" s="10"/>
      <c r="J64" s="10"/>
      <c r="K64" s="10"/>
      <c r="L64" s="12"/>
      <c r="M64" s="58"/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3" hidden="1" outlineLevel="1" x14ac:dyDescent="0.3">
      <c r="A65" s="11" t="s">
        <v>21</v>
      </c>
      <c r="B65" s="36"/>
      <c r="C65" s="10"/>
      <c r="D65" s="10"/>
      <c r="E65" s="9"/>
      <c r="F65" s="9"/>
      <c r="G65" s="9"/>
      <c r="H65" s="9"/>
      <c r="I65" s="10"/>
      <c r="J65" s="10"/>
      <c r="K65" s="10"/>
      <c r="L65" s="12"/>
      <c r="M65" s="58"/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3" hidden="1" outlineLevel="1" x14ac:dyDescent="0.3">
      <c r="A66" s="11" t="s">
        <v>21</v>
      </c>
      <c r="B66" s="36"/>
      <c r="C66" s="10"/>
      <c r="D66" s="10"/>
      <c r="E66" s="9"/>
      <c r="F66" s="9"/>
      <c r="G66" s="9"/>
      <c r="H66" s="9"/>
      <c r="I66" s="10"/>
      <c r="J66" s="10"/>
      <c r="K66" s="10"/>
      <c r="L66" s="12"/>
      <c r="M66" s="58"/>
      <c r="N66" s="52"/>
      <c r="O66" s="52"/>
      <c r="P66" s="52"/>
      <c r="Q66" s="52"/>
      <c r="R66" s="52"/>
      <c r="S66" s="52"/>
      <c r="T66" s="52"/>
      <c r="U66" s="52"/>
      <c r="V66" s="52"/>
      <c r="W66" s="52"/>
    </row>
    <row r="67" spans="1:23" hidden="1" outlineLevel="1" x14ac:dyDescent="0.3">
      <c r="A67" s="11" t="s">
        <v>21</v>
      </c>
      <c r="B67" s="36"/>
      <c r="C67" s="10"/>
      <c r="D67" s="10"/>
      <c r="E67" s="9"/>
      <c r="F67" s="9"/>
      <c r="G67" s="9"/>
      <c r="H67" s="9"/>
      <c r="I67" s="10"/>
      <c r="J67" s="10"/>
      <c r="K67" s="10"/>
      <c r="L67" s="12"/>
      <c r="M67" s="58"/>
      <c r="N67" s="52"/>
      <c r="O67" s="52"/>
      <c r="P67" s="52"/>
      <c r="Q67" s="52"/>
      <c r="R67" s="52"/>
      <c r="S67" s="52"/>
      <c r="T67" s="52"/>
      <c r="U67" s="52"/>
      <c r="V67" s="52"/>
      <c r="W67" s="52"/>
    </row>
    <row r="68" spans="1:23" hidden="1" outlineLevel="1" x14ac:dyDescent="0.3">
      <c r="A68" s="11" t="s">
        <v>21</v>
      </c>
      <c r="B68" s="36"/>
      <c r="C68" s="10"/>
      <c r="D68" s="10"/>
      <c r="E68" s="9"/>
      <c r="F68" s="9"/>
      <c r="G68" s="9"/>
      <c r="H68" s="9"/>
      <c r="I68" s="10"/>
      <c r="J68" s="10"/>
      <c r="K68" s="10"/>
      <c r="L68" s="12"/>
      <c r="M68" s="58"/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3" hidden="1" outlineLevel="1" x14ac:dyDescent="0.3">
      <c r="A69" s="11" t="s">
        <v>21</v>
      </c>
      <c r="B69" s="36"/>
      <c r="C69" s="10"/>
      <c r="D69" s="10"/>
      <c r="E69" s="9"/>
      <c r="F69" s="9"/>
      <c r="G69" s="9"/>
      <c r="H69" s="9"/>
      <c r="I69" s="10"/>
      <c r="J69" s="10"/>
      <c r="K69" s="10"/>
      <c r="L69" s="12"/>
      <c r="M69" s="58"/>
      <c r="N69" s="52"/>
      <c r="O69" s="52"/>
      <c r="P69" s="52"/>
      <c r="Q69" s="52"/>
      <c r="R69" s="52"/>
      <c r="S69" s="52"/>
      <c r="T69" s="52"/>
      <c r="U69" s="52"/>
      <c r="V69" s="52"/>
      <c r="W69" s="52"/>
    </row>
    <row r="70" spans="1:23" hidden="1" outlineLevel="1" x14ac:dyDescent="0.3">
      <c r="A70" s="11" t="s">
        <v>21</v>
      </c>
      <c r="B70" s="36"/>
      <c r="C70" s="10"/>
      <c r="D70" s="10"/>
      <c r="E70" s="9"/>
      <c r="F70" s="9"/>
      <c r="G70" s="9"/>
      <c r="H70" s="9"/>
      <c r="I70" s="10"/>
      <c r="J70" s="10"/>
      <c r="K70" s="10"/>
      <c r="L70" s="12"/>
      <c r="M70" s="58"/>
      <c r="N70" s="52"/>
      <c r="O70" s="52"/>
      <c r="P70" s="52"/>
      <c r="Q70" s="52"/>
      <c r="R70" s="52"/>
      <c r="S70" s="52"/>
      <c r="T70" s="52"/>
      <c r="U70" s="52"/>
      <c r="V70" s="52"/>
      <c r="W70" s="52"/>
    </row>
    <row r="71" spans="1:23" hidden="1" outlineLevel="1" x14ac:dyDescent="0.3">
      <c r="A71" s="11" t="s">
        <v>21</v>
      </c>
      <c r="B71" s="36"/>
      <c r="C71" s="10"/>
      <c r="D71" s="10"/>
      <c r="E71" s="9"/>
      <c r="F71" s="9"/>
      <c r="G71" s="9"/>
      <c r="H71" s="9"/>
      <c r="I71" s="10"/>
      <c r="J71" s="10"/>
      <c r="K71" s="10"/>
      <c r="L71" s="12"/>
      <c r="M71" s="58"/>
      <c r="N71" s="52"/>
      <c r="O71" s="52"/>
      <c r="P71" s="52"/>
      <c r="Q71" s="52"/>
      <c r="R71" s="52"/>
      <c r="S71" s="52"/>
      <c r="T71" s="52"/>
      <c r="U71" s="52"/>
      <c r="V71" s="52"/>
      <c r="W71" s="52"/>
    </row>
    <row r="72" spans="1:23" hidden="1" outlineLevel="1" x14ac:dyDescent="0.3">
      <c r="A72" s="11" t="s">
        <v>21</v>
      </c>
      <c r="B72" s="36"/>
      <c r="C72" s="10"/>
      <c r="D72" s="10"/>
      <c r="E72" s="9"/>
      <c r="F72" s="9"/>
      <c r="G72" s="9"/>
      <c r="H72" s="9"/>
      <c r="I72" s="10"/>
      <c r="J72" s="10"/>
      <c r="K72" s="10"/>
      <c r="L72" s="12"/>
      <c r="M72" s="58"/>
      <c r="N72" s="52"/>
      <c r="O72" s="52"/>
      <c r="P72" s="52"/>
      <c r="Q72" s="52"/>
      <c r="R72" s="52"/>
      <c r="S72" s="52"/>
      <c r="T72" s="52"/>
      <c r="U72" s="52"/>
      <c r="V72" s="52"/>
      <c r="W72" s="52"/>
    </row>
    <row r="73" spans="1:23" hidden="1" outlineLevel="1" x14ac:dyDescent="0.3">
      <c r="A73" s="11" t="s">
        <v>21</v>
      </c>
      <c r="B73" s="36"/>
      <c r="C73" s="10"/>
      <c r="D73" s="10"/>
      <c r="E73" s="9"/>
      <c r="F73" s="9"/>
      <c r="G73" s="9"/>
      <c r="H73" s="9"/>
      <c r="I73" s="10"/>
      <c r="J73" s="10"/>
      <c r="K73" s="10"/>
      <c r="L73" s="12"/>
      <c r="M73" s="58"/>
      <c r="N73" s="52"/>
      <c r="O73" s="52"/>
      <c r="P73" s="52"/>
      <c r="Q73" s="52"/>
      <c r="R73" s="52"/>
      <c r="S73" s="52"/>
      <c r="T73" s="52"/>
      <c r="U73" s="52"/>
      <c r="V73" s="52"/>
      <c r="W73" s="52"/>
    </row>
    <row r="74" spans="1:23" hidden="1" outlineLevel="1" x14ac:dyDescent="0.3">
      <c r="A74" s="11" t="s">
        <v>21</v>
      </c>
      <c r="B74" s="36"/>
      <c r="C74" s="10"/>
      <c r="D74" s="10"/>
      <c r="E74" s="9"/>
      <c r="F74" s="9"/>
      <c r="G74" s="9"/>
      <c r="H74" s="9"/>
      <c r="I74" s="10"/>
      <c r="J74" s="10"/>
      <c r="K74" s="10"/>
      <c r="L74" s="12"/>
      <c r="M74" s="58"/>
      <c r="N74" s="52"/>
      <c r="O74" s="52"/>
      <c r="P74" s="52"/>
      <c r="Q74" s="52"/>
      <c r="R74" s="52"/>
      <c r="S74" s="52"/>
      <c r="T74" s="52"/>
      <c r="U74" s="52"/>
      <c r="V74" s="52"/>
      <c r="W74" s="52"/>
    </row>
    <row r="75" spans="1:23" hidden="1" outlineLevel="1" x14ac:dyDescent="0.3">
      <c r="A75" s="11" t="s">
        <v>21</v>
      </c>
      <c r="B75" s="36"/>
      <c r="C75" s="10"/>
      <c r="D75" s="10"/>
      <c r="E75" s="9"/>
      <c r="F75" s="9"/>
      <c r="G75" s="9"/>
      <c r="H75" s="9"/>
      <c r="I75" s="10"/>
      <c r="J75" s="10"/>
      <c r="K75" s="10"/>
      <c r="L75" s="12"/>
      <c r="M75" s="58"/>
      <c r="N75" s="52"/>
      <c r="O75" s="52"/>
      <c r="P75" s="52"/>
      <c r="Q75" s="52"/>
      <c r="R75" s="52"/>
      <c r="S75" s="52"/>
      <c r="T75" s="52"/>
      <c r="U75" s="52"/>
      <c r="V75" s="52"/>
      <c r="W75" s="52"/>
    </row>
    <row r="76" spans="1:23" hidden="1" outlineLevel="1" x14ac:dyDescent="0.3">
      <c r="A76" s="11" t="s">
        <v>21</v>
      </c>
      <c r="B76" s="36"/>
      <c r="C76" s="10"/>
      <c r="D76" s="10"/>
      <c r="E76" s="9"/>
      <c r="F76" s="9"/>
      <c r="G76" s="9"/>
      <c r="H76" s="9"/>
      <c r="I76" s="10"/>
      <c r="J76" s="10"/>
      <c r="K76" s="10"/>
      <c r="L76" s="12"/>
      <c r="M76" s="58"/>
      <c r="N76" s="52"/>
      <c r="O76" s="52"/>
      <c r="P76" s="52"/>
      <c r="Q76" s="52"/>
      <c r="R76" s="52"/>
      <c r="S76" s="52"/>
      <c r="T76" s="52"/>
      <c r="U76" s="52"/>
      <c r="V76" s="52"/>
      <c r="W76" s="52"/>
    </row>
    <row r="77" spans="1:23" hidden="1" outlineLevel="1" x14ac:dyDescent="0.3">
      <c r="A77" s="11" t="s">
        <v>21</v>
      </c>
      <c r="B77" s="36"/>
      <c r="C77" s="10"/>
      <c r="D77" s="10"/>
      <c r="E77" s="9"/>
      <c r="F77" s="9"/>
      <c r="G77" s="9"/>
      <c r="H77" s="9"/>
      <c r="I77" s="10"/>
      <c r="J77" s="10"/>
      <c r="K77" s="10"/>
      <c r="L77" s="12"/>
      <c r="M77" s="58"/>
      <c r="N77" s="52"/>
      <c r="O77" s="52"/>
      <c r="P77" s="52"/>
      <c r="Q77" s="52"/>
      <c r="R77" s="52"/>
      <c r="S77" s="52"/>
      <c r="T77" s="52"/>
      <c r="U77" s="52"/>
      <c r="V77" s="52"/>
      <c r="W77" s="52"/>
    </row>
    <row r="78" spans="1:23" hidden="1" outlineLevel="1" x14ac:dyDescent="0.3">
      <c r="A78" s="11" t="s">
        <v>21</v>
      </c>
      <c r="B78" s="36"/>
      <c r="C78" s="10"/>
      <c r="D78" s="10"/>
      <c r="E78" s="9"/>
      <c r="F78" s="9"/>
      <c r="G78" s="9"/>
      <c r="H78" s="9"/>
      <c r="I78" s="10"/>
      <c r="J78" s="10"/>
      <c r="K78" s="10"/>
      <c r="L78" s="12"/>
      <c r="M78" s="58"/>
      <c r="N78" s="52"/>
      <c r="O78" s="52"/>
      <c r="P78" s="52"/>
      <c r="Q78" s="52"/>
      <c r="R78" s="52"/>
      <c r="S78" s="52"/>
      <c r="T78" s="52"/>
      <c r="U78" s="52"/>
      <c r="V78" s="52"/>
      <c r="W78" s="52"/>
    </row>
    <row r="79" spans="1:23" hidden="1" outlineLevel="1" x14ac:dyDescent="0.3">
      <c r="A79" s="11" t="s">
        <v>21</v>
      </c>
      <c r="B79" s="36"/>
      <c r="C79" s="10"/>
      <c r="D79" s="10"/>
      <c r="E79" s="9"/>
      <c r="F79" s="9"/>
      <c r="G79" s="9"/>
      <c r="H79" s="9"/>
      <c r="I79" s="10"/>
      <c r="J79" s="10"/>
      <c r="K79" s="10"/>
      <c r="L79" s="12"/>
      <c r="M79" s="58"/>
      <c r="N79" s="52"/>
      <c r="O79" s="52"/>
      <c r="P79" s="52"/>
      <c r="Q79" s="52"/>
      <c r="R79" s="52"/>
      <c r="S79" s="52"/>
      <c r="T79" s="52"/>
      <c r="U79" s="52"/>
      <c r="V79" s="52"/>
      <c r="W79" s="52"/>
    </row>
    <row r="80" spans="1:23" hidden="1" outlineLevel="1" x14ac:dyDescent="0.3">
      <c r="A80" s="11" t="s">
        <v>21</v>
      </c>
      <c r="B80" s="36"/>
      <c r="C80" s="10"/>
      <c r="D80" s="10"/>
      <c r="E80" s="9"/>
      <c r="F80" s="9"/>
      <c r="G80" s="9"/>
      <c r="H80" s="9"/>
      <c r="I80" s="10"/>
      <c r="J80" s="10"/>
      <c r="K80" s="10"/>
      <c r="L80" s="12"/>
      <c r="M80" s="58"/>
      <c r="N80" s="52"/>
      <c r="O80" s="52"/>
      <c r="P80" s="52"/>
      <c r="Q80" s="52"/>
      <c r="R80" s="52"/>
      <c r="S80" s="52"/>
      <c r="T80" s="52"/>
      <c r="U80" s="52"/>
      <c r="V80" s="52"/>
      <c r="W80" s="52"/>
    </row>
    <row r="81" spans="1:23" hidden="1" outlineLevel="1" x14ac:dyDescent="0.3">
      <c r="A81" s="11" t="s">
        <v>21</v>
      </c>
      <c r="B81" s="36"/>
      <c r="C81" s="10"/>
      <c r="D81" s="10"/>
      <c r="E81" s="9"/>
      <c r="F81" s="9"/>
      <c r="G81" s="9"/>
      <c r="H81" s="9"/>
      <c r="I81" s="10"/>
      <c r="J81" s="10"/>
      <c r="K81" s="10"/>
      <c r="L81" s="12"/>
      <c r="M81" s="58"/>
      <c r="N81" s="52"/>
      <c r="O81" s="52"/>
      <c r="P81" s="52"/>
      <c r="Q81" s="52"/>
      <c r="R81" s="52"/>
      <c r="S81" s="52"/>
      <c r="T81" s="52"/>
      <c r="U81" s="52"/>
      <c r="V81" s="52"/>
      <c r="W81" s="52"/>
    </row>
    <row r="82" spans="1:23" hidden="1" outlineLevel="1" x14ac:dyDescent="0.3">
      <c r="A82" s="11" t="s">
        <v>21</v>
      </c>
      <c r="B82" s="36"/>
      <c r="C82" s="10"/>
      <c r="D82" s="10"/>
      <c r="E82" s="9"/>
      <c r="F82" s="9"/>
      <c r="G82" s="9"/>
      <c r="H82" s="9"/>
      <c r="I82" s="10"/>
      <c r="J82" s="10"/>
      <c r="K82" s="10"/>
      <c r="L82" s="12"/>
      <c r="M82" s="58"/>
      <c r="N82" s="52"/>
      <c r="O82" s="52"/>
      <c r="P82" s="52"/>
      <c r="Q82" s="52"/>
      <c r="R82" s="52"/>
      <c r="S82" s="52"/>
      <c r="T82" s="52"/>
      <c r="U82" s="52"/>
      <c r="V82" s="52"/>
      <c r="W82" s="52"/>
    </row>
    <row r="83" spans="1:23" hidden="1" outlineLevel="1" x14ac:dyDescent="0.3">
      <c r="A83" s="11" t="s">
        <v>21</v>
      </c>
      <c r="B83" s="36"/>
      <c r="C83" s="10"/>
      <c r="D83" s="10"/>
      <c r="E83" s="9"/>
      <c r="F83" s="9"/>
      <c r="G83" s="9"/>
      <c r="H83" s="9"/>
      <c r="I83" s="10"/>
      <c r="J83" s="10"/>
      <c r="K83" s="10"/>
      <c r="L83" s="12"/>
      <c r="M83" s="58"/>
      <c r="N83" s="52"/>
      <c r="O83" s="52"/>
      <c r="P83" s="52"/>
      <c r="Q83" s="52"/>
      <c r="R83" s="52"/>
      <c r="S83" s="52"/>
      <c r="T83" s="52"/>
      <c r="U83" s="52"/>
      <c r="V83" s="52"/>
      <c r="W83" s="52"/>
    </row>
    <row r="84" spans="1:23" hidden="1" outlineLevel="1" x14ac:dyDescent="0.3">
      <c r="A84" s="11" t="s">
        <v>21</v>
      </c>
      <c r="B84" s="36"/>
      <c r="C84" s="10"/>
      <c r="D84" s="10"/>
      <c r="E84" s="9"/>
      <c r="F84" s="9"/>
      <c r="G84" s="9"/>
      <c r="H84" s="9"/>
      <c r="I84" s="10"/>
      <c r="J84" s="10"/>
      <c r="K84" s="10"/>
      <c r="L84" s="12"/>
      <c r="M84" s="58"/>
      <c r="N84" s="52"/>
      <c r="O84" s="52"/>
      <c r="P84" s="52"/>
      <c r="Q84" s="52"/>
      <c r="R84" s="52"/>
      <c r="S84" s="52"/>
      <c r="T84" s="52"/>
      <c r="U84" s="52"/>
      <c r="V84" s="52"/>
      <c r="W84" s="52"/>
    </row>
    <row r="85" spans="1:23" hidden="1" outlineLevel="1" x14ac:dyDescent="0.3">
      <c r="A85" s="11" t="s">
        <v>21</v>
      </c>
      <c r="B85" s="36"/>
      <c r="C85" s="10"/>
      <c r="D85" s="10"/>
      <c r="E85" s="9"/>
      <c r="F85" s="9"/>
      <c r="G85" s="9"/>
      <c r="H85" s="9"/>
      <c r="I85" s="10"/>
      <c r="J85" s="10"/>
      <c r="K85" s="10"/>
      <c r="L85" s="12"/>
      <c r="M85" s="58"/>
      <c r="N85" s="52"/>
      <c r="O85" s="52"/>
      <c r="P85" s="52"/>
      <c r="Q85" s="52"/>
      <c r="R85" s="52"/>
      <c r="S85" s="52"/>
      <c r="T85" s="52"/>
      <c r="U85" s="52"/>
      <c r="V85" s="52"/>
      <c r="W85" s="52"/>
    </row>
    <row r="86" spans="1:23" hidden="1" outlineLevel="1" x14ac:dyDescent="0.3">
      <c r="A86" s="11" t="s">
        <v>21</v>
      </c>
      <c r="B86" s="36"/>
      <c r="C86" s="10"/>
      <c r="D86" s="10"/>
      <c r="E86" s="9"/>
      <c r="F86" s="9"/>
      <c r="G86" s="9"/>
      <c r="H86" s="9"/>
      <c r="I86" s="10"/>
      <c r="J86" s="10"/>
      <c r="K86" s="10"/>
      <c r="L86" s="12"/>
      <c r="M86" s="58"/>
      <c r="N86" s="52"/>
      <c r="O86" s="52"/>
      <c r="P86" s="52"/>
      <c r="Q86" s="52"/>
      <c r="R86" s="52"/>
      <c r="S86" s="52"/>
      <c r="T86" s="52"/>
      <c r="U86" s="52"/>
      <c r="V86" s="52"/>
      <c r="W86" s="52"/>
    </row>
    <row r="87" spans="1:23" hidden="1" outlineLevel="1" x14ac:dyDescent="0.3">
      <c r="A87" s="11" t="s">
        <v>21</v>
      </c>
      <c r="B87" s="36"/>
      <c r="C87" s="10"/>
      <c r="D87" s="10"/>
      <c r="E87" s="9"/>
      <c r="F87" s="9"/>
      <c r="G87" s="9"/>
      <c r="H87" s="9"/>
      <c r="I87" s="10"/>
      <c r="J87" s="10"/>
      <c r="K87" s="10"/>
      <c r="L87" s="12"/>
      <c r="M87" s="58"/>
      <c r="N87" s="52"/>
      <c r="O87" s="52"/>
      <c r="P87" s="52"/>
      <c r="Q87" s="52"/>
      <c r="R87" s="52"/>
      <c r="S87" s="52"/>
      <c r="T87" s="52"/>
      <c r="U87" s="52"/>
      <c r="V87" s="52"/>
      <c r="W87" s="52"/>
    </row>
    <row r="88" spans="1:23" hidden="1" outlineLevel="1" x14ac:dyDescent="0.3">
      <c r="A88" s="11" t="s">
        <v>21</v>
      </c>
      <c r="B88" s="36"/>
      <c r="C88" s="10"/>
      <c r="D88" s="10"/>
      <c r="E88" s="9"/>
      <c r="F88" s="9"/>
      <c r="G88" s="9"/>
      <c r="H88" s="9"/>
      <c r="I88" s="10"/>
      <c r="J88" s="10"/>
      <c r="K88" s="10"/>
      <c r="L88" s="12"/>
      <c r="M88" s="58"/>
      <c r="N88" s="52"/>
      <c r="O88" s="52"/>
      <c r="P88" s="52"/>
      <c r="Q88" s="52"/>
      <c r="R88" s="52"/>
      <c r="S88" s="52"/>
      <c r="T88" s="52"/>
      <c r="U88" s="52"/>
      <c r="V88" s="52"/>
      <c r="W88" s="52"/>
    </row>
    <row r="89" spans="1:23" hidden="1" outlineLevel="1" x14ac:dyDescent="0.3">
      <c r="A89" s="11" t="s">
        <v>21</v>
      </c>
      <c r="B89" s="36"/>
      <c r="C89" s="10"/>
      <c r="D89" s="10"/>
      <c r="E89" s="9"/>
      <c r="F89" s="9"/>
      <c r="G89" s="9"/>
      <c r="H89" s="9"/>
      <c r="I89" s="10"/>
      <c r="J89" s="10"/>
      <c r="K89" s="10"/>
      <c r="L89" s="12"/>
      <c r="M89" s="58"/>
      <c r="N89" s="52"/>
      <c r="O89" s="52"/>
      <c r="P89" s="52"/>
      <c r="Q89" s="52"/>
      <c r="R89" s="52"/>
      <c r="S89" s="52"/>
      <c r="T89" s="52"/>
      <c r="U89" s="52"/>
      <c r="V89" s="52"/>
      <c r="W89" s="52"/>
    </row>
    <row r="90" spans="1:23" hidden="1" outlineLevel="1" x14ac:dyDescent="0.3">
      <c r="A90" s="11" t="s">
        <v>21</v>
      </c>
      <c r="B90" s="36"/>
      <c r="C90" s="10"/>
      <c r="D90" s="10"/>
      <c r="E90" s="9"/>
      <c r="F90" s="9"/>
      <c r="G90" s="9"/>
      <c r="H90" s="9"/>
      <c r="I90" s="10"/>
      <c r="J90" s="10"/>
      <c r="K90" s="10"/>
      <c r="L90" s="12"/>
      <c r="M90" s="58"/>
      <c r="N90" s="52"/>
      <c r="O90" s="52"/>
      <c r="P90" s="52"/>
      <c r="Q90" s="52"/>
      <c r="R90" s="52"/>
      <c r="S90" s="52"/>
      <c r="T90" s="52"/>
      <c r="U90" s="52"/>
      <c r="V90" s="52"/>
      <c r="W90" s="52"/>
    </row>
    <row r="91" spans="1:23" hidden="1" outlineLevel="1" x14ac:dyDescent="0.3">
      <c r="A91" s="11" t="s">
        <v>21</v>
      </c>
      <c r="B91" s="36"/>
      <c r="C91" s="10"/>
      <c r="D91" s="10"/>
      <c r="E91" s="9"/>
      <c r="F91" s="9"/>
      <c r="G91" s="9"/>
      <c r="H91" s="9"/>
      <c r="I91" s="10"/>
      <c r="J91" s="10"/>
      <c r="K91" s="10"/>
      <c r="L91" s="12"/>
      <c r="M91" s="58"/>
      <c r="N91" s="52"/>
      <c r="O91" s="52"/>
      <c r="P91" s="52"/>
      <c r="Q91" s="52"/>
      <c r="R91" s="52"/>
      <c r="S91" s="52"/>
      <c r="T91" s="52"/>
      <c r="U91" s="52"/>
      <c r="V91" s="52"/>
      <c r="W91" s="52"/>
    </row>
    <row r="92" spans="1:23" hidden="1" outlineLevel="1" x14ac:dyDescent="0.3">
      <c r="A92" s="11" t="s">
        <v>21</v>
      </c>
      <c r="B92" s="36"/>
      <c r="C92" s="10"/>
      <c r="D92" s="10"/>
      <c r="E92" s="9"/>
      <c r="F92" s="9"/>
      <c r="G92" s="9"/>
      <c r="H92" s="9"/>
      <c r="I92" s="10"/>
      <c r="J92" s="10"/>
      <c r="K92" s="10"/>
      <c r="L92" s="12"/>
      <c r="M92" s="58"/>
      <c r="N92" s="52"/>
      <c r="O92" s="52"/>
      <c r="P92" s="52"/>
      <c r="Q92" s="52"/>
      <c r="R92" s="52"/>
      <c r="S92" s="52"/>
      <c r="T92" s="52"/>
      <c r="U92" s="52"/>
      <c r="V92" s="52"/>
      <c r="W92" s="52"/>
    </row>
    <row r="93" spans="1:23" hidden="1" outlineLevel="1" x14ac:dyDescent="0.3">
      <c r="A93" s="11" t="s">
        <v>21</v>
      </c>
      <c r="B93" s="36"/>
      <c r="C93" s="10"/>
      <c r="D93" s="10"/>
      <c r="E93" s="9"/>
      <c r="F93" s="9"/>
      <c r="G93" s="9"/>
      <c r="H93" s="9"/>
      <c r="I93" s="10"/>
      <c r="J93" s="10"/>
      <c r="K93" s="10"/>
      <c r="L93" s="12"/>
      <c r="M93" s="58"/>
      <c r="N93" s="52"/>
      <c r="O93" s="52"/>
      <c r="P93" s="52"/>
      <c r="Q93" s="52"/>
      <c r="R93" s="52"/>
      <c r="S93" s="52"/>
      <c r="T93" s="52"/>
      <c r="U93" s="52"/>
      <c r="V93" s="52"/>
      <c r="W93" s="52"/>
    </row>
    <row r="94" spans="1:23" hidden="1" outlineLevel="1" x14ac:dyDescent="0.3">
      <c r="A94" s="11" t="s">
        <v>21</v>
      </c>
      <c r="B94" s="36"/>
      <c r="C94" s="10"/>
      <c r="D94" s="10"/>
      <c r="E94" s="9"/>
      <c r="F94" s="9"/>
      <c r="G94" s="9"/>
      <c r="H94" s="9"/>
      <c r="I94" s="10"/>
      <c r="J94" s="10"/>
      <c r="K94" s="10"/>
      <c r="L94" s="12"/>
      <c r="M94" s="58"/>
      <c r="N94" s="52"/>
      <c r="O94" s="52"/>
      <c r="P94" s="52"/>
      <c r="Q94" s="52"/>
      <c r="R94" s="52"/>
      <c r="S94" s="52"/>
      <c r="T94" s="52"/>
      <c r="U94" s="52"/>
      <c r="V94" s="52"/>
      <c r="W94" s="52"/>
    </row>
    <row r="95" spans="1:23" hidden="1" outlineLevel="1" x14ac:dyDescent="0.3">
      <c r="A95" s="11" t="s">
        <v>21</v>
      </c>
      <c r="B95" s="36"/>
      <c r="C95" s="10"/>
      <c r="D95" s="10"/>
      <c r="E95" s="9"/>
      <c r="F95" s="9"/>
      <c r="G95" s="9"/>
      <c r="H95" s="9"/>
      <c r="I95" s="10"/>
      <c r="J95" s="10"/>
      <c r="K95" s="10"/>
      <c r="L95" s="12"/>
      <c r="M95" s="58"/>
      <c r="N95" s="52"/>
      <c r="O95" s="52"/>
      <c r="P95" s="52"/>
      <c r="Q95" s="52"/>
      <c r="R95" s="52"/>
      <c r="S95" s="52"/>
      <c r="T95" s="52"/>
      <c r="U95" s="52"/>
      <c r="V95" s="52"/>
      <c r="W95" s="52"/>
    </row>
    <row r="96" spans="1:23" hidden="1" outlineLevel="1" x14ac:dyDescent="0.3">
      <c r="A96" s="11" t="s">
        <v>21</v>
      </c>
      <c r="B96" s="36"/>
      <c r="C96" s="10"/>
      <c r="D96" s="10"/>
      <c r="E96" s="9"/>
      <c r="F96" s="9"/>
      <c r="G96" s="9"/>
      <c r="H96" s="9"/>
      <c r="I96" s="10"/>
      <c r="J96" s="10"/>
      <c r="K96" s="10"/>
      <c r="L96" s="12"/>
      <c r="M96" s="58"/>
      <c r="N96" s="52"/>
      <c r="O96" s="52"/>
      <c r="P96" s="52"/>
      <c r="Q96" s="52"/>
      <c r="R96" s="52"/>
      <c r="S96" s="52"/>
      <c r="T96" s="52"/>
      <c r="U96" s="52"/>
      <c r="V96" s="52"/>
      <c r="W96" s="52"/>
    </row>
    <row r="97" spans="1:23" hidden="1" outlineLevel="1" x14ac:dyDescent="0.3">
      <c r="A97" s="11" t="s">
        <v>21</v>
      </c>
      <c r="B97" s="36"/>
      <c r="C97" s="10"/>
      <c r="D97" s="10"/>
      <c r="E97" s="9"/>
      <c r="F97" s="9"/>
      <c r="G97" s="9"/>
      <c r="H97" s="9"/>
      <c r="I97" s="10"/>
      <c r="J97" s="10"/>
      <c r="K97" s="10"/>
      <c r="L97" s="12"/>
      <c r="M97" s="58"/>
      <c r="N97" s="52"/>
      <c r="O97" s="52"/>
      <c r="P97" s="52"/>
      <c r="Q97" s="52"/>
      <c r="R97" s="52"/>
      <c r="S97" s="52"/>
      <c r="T97" s="52"/>
      <c r="U97" s="52"/>
      <c r="V97" s="52"/>
      <c r="W97" s="52"/>
    </row>
    <row r="98" spans="1:23" hidden="1" outlineLevel="1" x14ac:dyDescent="0.3">
      <c r="A98" s="11" t="s">
        <v>21</v>
      </c>
      <c r="B98" s="36"/>
      <c r="C98" s="10"/>
      <c r="D98" s="10"/>
      <c r="E98" s="9"/>
      <c r="F98" s="9"/>
      <c r="G98" s="9"/>
      <c r="H98" s="9"/>
      <c r="I98" s="10"/>
      <c r="J98" s="10"/>
      <c r="K98" s="10"/>
      <c r="L98" s="12"/>
      <c r="M98" s="58"/>
      <c r="N98" s="52"/>
      <c r="O98" s="52"/>
      <c r="P98" s="52"/>
      <c r="Q98" s="52"/>
      <c r="R98" s="52"/>
      <c r="S98" s="52"/>
      <c r="T98" s="52"/>
      <c r="U98" s="52"/>
      <c r="V98" s="52"/>
      <c r="W98" s="52"/>
    </row>
    <row r="99" spans="1:23" hidden="1" outlineLevel="1" x14ac:dyDescent="0.3">
      <c r="A99" s="11" t="s">
        <v>21</v>
      </c>
      <c r="B99" s="36"/>
      <c r="C99" s="10"/>
      <c r="D99" s="10"/>
      <c r="E99" s="9"/>
      <c r="F99" s="9"/>
      <c r="G99" s="9"/>
      <c r="H99" s="9"/>
      <c r="I99" s="10"/>
      <c r="J99" s="10"/>
      <c r="K99" s="10"/>
      <c r="L99" s="12"/>
      <c r="M99" s="58"/>
      <c r="N99" s="52"/>
      <c r="O99" s="52"/>
      <c r="P99" s="52"/>
      <c r="Q99" s="52"/>
      <c r="R99" s="52"/>
      <c r="S99" s="52"/>
      <c r="T99" s="52"/>
      <c r="U99" s="52"/>
      <c r="V99" s="52"/>
      <c r="W99" s="52"/>
    </row>
    <row r="100" spans="1:23" hidden="1" outlineLevel="1" x14ac:dyDescent="0.3">
      <c r="A100" s="11" t="s">
        <v>21</v>
      </c>
      <c r="B100" s="36"/>
      <c r="C100" s="10"/>
      <c r="D100" s="10"/>
      <c r="E100" s="9"/>
      <c r="F100" s="9"/>
      <c r="G100" s="9"/>
      <c r="H100" s="9"/>
      <c r="I100" s="10"/>
      <c r="J100" s="10"/>
      <c r="K100" s="10"/>
      <c r="L100" s="12"/>
      <c r="M100" s="58"/>
      <c r="N100" s="52"/>
      <c r="O100" s="52"/>
      <c r="P100" s="52"/>
      <c r="Q100" s="52"/>
      <c r="R100" s="52"/>
      <c r="S100" s="52"/>
      <c r="T100" s="52"/>
      <c r="U100" s="52"/>
      <c r="V100" s="52"/>
      <c r="W100" s="52"/>
    </row>
    <row r="101" spans="1:23" hidden="1" outlineLevel="1" x14ac:dyDescent="0.3">
      <c r="A101" s="11" t="s">
        <v>21</v>
      </c>
      <c r="B101" s="36"/>
      <c r="C101" s="10"/>
      <c r="D101" s="10"/>
      <c r="E101" s="9"/>
      <c r="F101" s="9"/>
      <c r="G101" s="9"/>
      <c r="H101" s="9"/>
      <c r="I101" s="10"/>
      <c r="J101" s="10"/>
      <c r="K101" s="10"/>
      <c r="L101" s="12"/>
      <c r="M101" s="58"/>
      <c r="N101" s="52"/>
      <c r="O101" s="52"/>
      <c r="P101" s="52"/>
      <c r="Q101" s="52"/>
      <c r="R101" s="52"/>
      <c r="S101" s="52"/>
      <c r="T101" s="52"/>
      <c r="U101" s="52"/>
      <c r="V101" s="52"/>
      <c r="W101" s="52"/>
    </row>
    <row r="102" spans="1:23" hidden="1" outlineLevel="1" x14ac:dyDescent="0.3">
      <c r="A102" s="11" t="s">
        <v>21</v>
      </c>
      <c r="B102" s="36"/>
      <c r="C102" s="10"/>
      <c r="D102" s="10"/>
      <c r="E102" s="9"/>
      <c r="F102" s="9"/>
      <c r="G102" s="9"/>
      <c r="H102" s="9"/>
      <c r="I102" s="10"/>
      <c r="J102" s="10"/>
      <c r="K102" s="10"/>
      <c r="L102" s="12"/>
      <c r="M102" s="58"/>
      <c r="N102" s="52"/>
      <c r="O102" s="52"/>
      <c r="P102" s="52"/>
      <c r="Q102" s="52"/>
      <c r="R102" s="52"/>
      <c r="S102" s="52"/>
      <c r="T102" s="52"/>
      <c r="U102" s="52"/>
      <c r="V102" s="52"/>
      <c r="W102" s="52"/>
    </row>
    <row r="103" spans="1:23" hidden="1" outlineLevel="1" x14ac:dyDescent="0.3">
      <c r="A103" s="11" t="s">
        <v>21</v>
      </c>
      <c r="B103" s="36"/>
      <c r="C103" s="10"/>
      <c r="D103" s="10"/>
      <c r="E103" s="9"/>
      <c r="F103" s="9"/>
      <c r="G103" s="9"/>
      <c r="H103" s="9"/>
      <c r="I103" s="10"/>
      <c r="J103" s="10"/>
      <c r="K103" s="10"/>
      <c r="L103" s="12"/>
      <c r="M103" s="58"/>
      <c r="N103" s="52"/>
      <c r="O103" s="52"/>
      <c r="P103" s="52"/>
      <c r="Q103" s="52"/>
      <c r="R103" s="52"/>
      <c r="S103" s="52"/>
      <c r="T103" s="52"/>
      <c r="U103" s="52"/>
      <c r="V103" s="52"/>
      <c r="W103" s="52"/>
    </row>
    <row r="104" spans="1:23" hidden="1" outlineLevel="1" x14ac:dyDescent="0.3">
      <c r="A104" s="11" t="s">
        <v>21</v>
      </c>
      <c r="B104" s="36"/>
      <c r="C104" s="10"/>
      <c r="D104" s="10"/>
      <c r="E104" s="9"/>
      <c r="F104" s="9"/>
      <c r="G104" s="9"/>
      <c r="H104" s="9"/>
      <c r="I104" s="10"/>
      <c r="J104" s="10"/>
      <c r="K104" s="10"/>
      <c r="L104" s="12"/>
      <c r="M104" s="58"/>
      <c r="N104" s="52"/>
      <c r="O104" s="52"/>
      <c r="P104" s="52"/>
      <c r="Q104" s="52"/>
      <c r="R104" s="52"/>
      <c r="S104" s="52"/>
      <c r="T104" s="52"/>
      <c r="U104" s="52"/>
      <c r="V104" s="52"/>
      <c r="W104" s="52"/>
    </row>
    <row r="105" spans="1:23" hidden="1" outlineLevel="1" x14ac:dyDescent="0.3">
      <c r="A105" s="11" t="s">
        <v>21</v>
      </c>
      <c r="B105" s="36"/>
      <c r="C105" s="10"/>
      <c r="D105" s="10"/>
      <c r="E105" s="9"/>
      <c r="F105" s="9"/>
      <c r="G105" s="9"/>
      <c r="H105" s="9"/>
      <c r="I105" s="10"/>
      <c r="J105" s="10"/>
      <c r="K105" s="10"/>
      <c r="L105" s="12"/>
      <c r="M105" s="58"/>
      <c r="N105" s="52"/>
      <c r="O105" s="52"/>
      <c r="P105" s="52"/>
      <c r="Q105" s="52"/>
      <c r="R105" s="52"/>
      <c r="S105" s="52"/>
      <c r="T105" s="52"/>
      <c r="U105" s="52"/>
      <c r="V105" s="52"/>
      <c r="W105" s="52"/>
    </row>
    <row r="106" spans="1:23" ht="16.2" hidden="1" outlineLevel="1" thickBot="1" x14ac:dyDescent="0.35">
      <c r="A106" s="13" t="s">
        <v>21</v>
      </c>
      <c r="B106" s="40"/>
      <c r="C106" s="15"/>
      <c r="D106" s="15"/>
      <c r="E106" s="14"/>
      <c r="F106" s="14"/>
      <c r="G106" s="14"/>
      <c r="H106" s="14"/>
      <c r="I106" s="15"/>
      <c r="J106" s="15"/>
      <c r="K106" s="15"/>
      <c r="L106" s="16"/>
      <c r="M106" s="58"/>
      <c r="N106" s="52"/>
      <c r="O106" s="52"/>
      <c r="P106" s="52"/>
      <c r="Q106" s="52"/>
      <c r="R106" s="52"/>
      <c r="S106" s="52"/>
      <c r="T106" s="52"/>
      <c r="U106" s="52"/>
      <c r="V106" s="52"/>
      <c r="W106" s="52"/>
    </row>
    <row r="107" spans="1:23" ht="72.599999999999994" collapsed="1" thickBot="1" x14ac:dyDescent="0.35">
      <c r="A107" s="27" t="s">
        <v>23</v>
      </c>
      <c r="B107" s="28" t="s">
        <v>22</v>
      </c>
      <c r="C107" s="23"/>
      <c r="D107" s="23">
        <v>0.4</v>
      </c>
      <c r="E107" s="17">
        <f>E108</f>
        <v>200</v>
      </c>
      <c r="F107" s="17">
        <f>F108</f>
        <v>140</v>
      </c>
      <c r="G107" s="17">
        <f>G108</f>
        <v>155.44120000000001</v>
      </c>
      <c r="H107" s="17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0.77720600000000006</v>
      </c>
      <c r="I107" s="23" t="s">
        <v>17</v>
      </c>
      <c r="J107" s="23" t="s">
        <v>17</v>
      </c>
      <c r="K107" s="23" t="s">
        <v>17</v>
      </c>
      <c r="L107" s="24" t="s">
        <v>17</v>
      </c>
      <c r="M107" s="58"/>
      <c r="N107" s="52"/>
      <c r="O107" s="52"/>
      <c r="P107" s="52"/>
      <c r="Q107" s="52"/>
      <c r="R107" s="52"/>
      <c r="S107" s="52"/>
      <c r="T107" s="52"/>
      <c r="U107" s="52"/>
      <c r="V107" s="52"/>
      <c r="W107" s="52"/>
    </row>
    <row r="108" spans="1:23" s="273" customFormat="1" ht="36" customHeight="1" outlineLevel="1" thickBot="1" x14ac:dyDescent="0.35">
      <c r="A108" s="264" t="s">
        <v>23</v>
      </c>
      <c r="B108" s="315" t="s">
        <v>636</v>
      </c>
      <c r="C108" s="338">
        <v>2021</v>
      </c>
      <c r="D108" s="330">
        <v>0.4</v>
      </c>
      <c r="E108" s="330">
        <v>200</v>
      </c>
      <c r="F108" s="331">
        <v>140</v>
      </c>
      <c r="G108" s="332">
        <v>155.44120000000001</v>
      </c>
      <c r="H108" s="328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0.77720600000000006</v>
      </c>
      <c r="I108" s="320" t="s">
        <v>606</v>
      </c>
      <c r="J108" s="321" t="s">
        <v>607</v>
      </c>
      <c r="K108" s="263" t="s">
        <v>165</v>
      </c>
      <c r="L108" s="270" t="s">
        <v>164</v>
      </c>
      <c r="M108" s="271"/>
      <c r="N108" s="272"/>
      <c r="O108" s="272"/>
      <c r="P108" s="272"/>
      <c r="Q108" s="272"/>
      <c r="R108" s="272"/>
      <c r="S108" s="272"/>
      <c r="T108" s="272"/>
      <c r="U108" s="272"/>
      <c r="V108" s="272"/>
      <c r="W108" s="272"/>
    </row>
    <row r="109" spans="1:23" ht="72.599999999999994" thickBot="1" x14ac:dyDescent="0.35">
      <c r="A109" s="27" t="s">
        <v>63</v>
      </c>
      <c r="B109" s="28" t="s">
        <v>64</v>
      </c>
      <c r="C109" s="23">
        <v>2021</v>
      </c>
      <c r="D109" s="23">
        <v>6</v>
      </c>
      <c r="E109" s="17">
        <f>E111</f>
        <v>0</v>
      </c>
      <c r="F109" s="17">
        <f>F111</f>
        <v>0</v>
      </c>
      <c r="G109" s="17">
        <f>G111</f>
        <v>0</v>
      </c>
      <c r="H109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09" s="23" t="s">
        <v>17</v>
      </c>
      <c r="J109" s="23" t="s">
        <v>17</v>
      </c>
      <c r="K109" s="23" t="s">
        <v>17</v>
      </c>
      <c r="L109" s="24" t="s">
        <v>17</v>
      </c>
      <c r="M109" s="58"/>
      <c r="N109" s="52"/>
      <c r="O109" s="52"/>
      <c r="P109" s="52"/>
      <c r="Q109" s="52"/>
      <c r="R109" s="52"/>
      <c r="S109" s="52"/>
      <c r="T109" s="52"/>
      <c r="U109" s="52"/>
      <c r="V109" s="52"/>
      <c r="W109" s="52"/>
    </row>
    <row r="110" spans="1:23" s="273" customFormat="1" ht="37.200000000000003" customHeight="1" thickBot="1" x14ac:dyDescent="0.35">
      <c r="A110" s="264"/>
      <c r="B110" s="266"/>
      <c r="C110" s="266"/>
      <c r="D110" s="266"/>
      <c r="E110" s="267"/>
      <c r="F110" s="267"/>
      <c r="G110" s="267"/>
      <c r="H110" s="267"/>
      <c r="I110" s="281"/>
      <c r="J110" s="281"/>
      <c r="K110" s="266"/>
      <c r="L110" s="339"/>
      <c r="M110" s="271"/>
      <c r="N110" s="272"/>
      <c r="O110" s="272"/>
      <c r="P110" s="272"/>
      <c r="Q110" s="272"/>
      <c r="R110" s="272"/>
      <c r="S110" s="272"/>
      <c r="T110" s="272"/>
      <c r="U110" s="272"/>
      <c r="V110" s="272"/>
      <c r="W110" s="272"/>
    </row>
    <row r="111" spans="1:23" s="273" customFormat="1" ht="50.4" hidden="1" customHeight="1" outlineLevel="1" thickBot="1" x14ac:dyDescent="0.35">
      <c r="A111" s="264"/>
      <c r="B111" s="265"/>
      <c r="C111" s="266"/>
      <c r="D111" s="266"/>
      <c r="E111" s="267"/>
      <c r="F111" s="267"/>
      <c r="G111" s="267"/>
      <c r="H111" s="267"/>
      <c r="I111" s="268"/>
      <c r="J111" s="269"/>
      <c r="K111" s="263"/>
      <c r="L111" s="270"/>
      <c r="M111" s="271"/>
      <c r="N111" s="272"/>
      <c r="O111" s="272"/>
      <c r="P111" s="272"/>
      <c r="Q111" s="272"/>
      <c r="R111" s="272"/>
      <c r="S111" s="272"/>
      <c r="T111" s="272"/>
      <c r="U111" s="272"/>
      <c r="V111" s="272"/>
      <c r="W111" s="272"/>
    </row>
    <row r="112" spans="1:23" ht="36.75" customHeight="1" collapsed="1" thickBot="1" x14ac:dyDescent="0.35">
      <c r="A112" s="68" t="s">
        <v>24</v>
      </c>
      <c r="B112" s="69" t="s">
        <v>25</v>
      </c>
      <c r="C112" s="70" t="s">
        <v>17</v>
      </c>
      <c r="D112" s="70" t="s">
        <v>17</v>
      </c>
      <c r="E112" s="71" t="s">
        <v>17</v>
      </c>
      <c r="F112" s="71" t="s">
        <v>17</v>
      </c>
      <c r="G112" s="71" t="s">
        <v>17</v>
      </c>
      <c r="H112" s="71" t="s">
        <v>17</v>
      </c>
      <c r="I112" s="70" t="s">
        <v>17</v>
      </c>
      <c r="J112" s="70" t="s">
        <v>17</v>
      </c>
      <c r="K112" s="70" t="s">
        <v>17</v>
      </c>
      <c r="L112" s="72" t="s">
        <v>17</v>
      </c>
      <c r="M112" s="58"/>
      <c r="N112" s="52"/>
      <c r="O112" s="52"/>
      <c r="P112" s="52"/>
      <c r="Q112" s="52"/>
      <c r="R112" s="52"/>
      <c r="S112" s="52"/>
      <c r="T112" s="52"/>
      <c r="U112" s="52"/>
      <c r="V112" s="52"/>
      <c r="W112" s="52"/>
    </row>
    <row r="113" spans="1:23" ht="72.599999999999994" outlineLevel="1" thickBot="1" x14ac:dyDescent="0.35">
      <c r="A113" s="27" t="s">
        <v>27</v>
      </c>
      <c r="B113" s="28" t="s">
        <v>28</v>
      </c>
      <c r="C113" s="23">
        <v>2021</v>
      </c>
      <c r="D113" s="23">
        <v>0.4</v>
      </c>
      <c r="E113" s="17">
        <f>E114</f>
        <v>0</v>
      </c>
      <c r="F113" s="17">
        <f>F114</f>
        <v>0</v>
      </c>
      <c r="G113" s="17">
        <f>G114</f>
        <v>0</v>
      </c>
      <c r="H113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3" s="23" t="s">
        <v>17</v>
      </c>
      <c r="J113" s="23" t="s">
        <v>17</v>
      </c>
      <c r="K113" s="23" t="s">
        <v>17</v>
      </c>
      <c r="L113" s="24" t="s">
        <v>17</v>
      </c>
      <c r="M113" s="58"/>
      <c r="N113" s="52"/>
      <c r="O113" s="52"/>
      <c r="P113" s="52"/>
      <c r="Q113" s="52"/>
      <c r="R113" s="52"/>
      <c r="S113" s="52"/>
      <c r="T113" s="52"/>
      <c r="U113" s="52"/>
      <c r="V113" s="52"/>
      <c r="W113" s="52"/>
    </row>
    <row r="114" spans="1:23" ht="16.2" hidden="1" outlineLevel="3" thickBot="1" x14ac:dyDescent="0.35">
      <c r="A114" s="66" t="s">
        <v>27</v>
      </c>
      <c r="B114" s="38"/>
      <c r="C114" s="37"/>
      <c r="D114" s="37"/>
      <c r="E114" s="39"/>
      <c r="F114" s="39"/>
      <c r="G114" s="39"/>
      <c r="H114" s="39"/>
      <c r="I114" s="37"/>
      <c r="J114" s="37"/>
      <c r="K114" s="37"/>
      <c r="L114" s="67"/>
      <c r="M114" s="58"/>
      <c r="N114" s="52"/>
      <c r="O114" s="52"/>
      <c r="P114" s="52"/>
      <c r="Q114" s="52"/>
      <c r="R114" s="52"/>
      <c r="S114" s="52"/>
      <c r="T114" s="52"/>
      <c r="U114" s="52"/>
      <c r="V114" s="52"/>
      <c r="W114" s="52"/>
    </row>
    <row r="115" spans="1:23" ht="72.599999999999994" outlineLevel="1" collapsed="1" thickBot="1" x14ac:dyDescent="0.35">
      <c r="A115" s="27" t="s">
        <v>65</v>
      </c>
      <c r="B115" s="28" t="s">
        <v>66</v>
      </c>
      <c r="C115" s="23">
        <v>2021</v>
      </c>
      <c r="D115" s="23">
        <v>0.4</v>
      </c>
      <c r="E115" s="17">
        <f>E116</f>
        <v>0</v>
      </c>
      <c r="F115" s="17">
        <f>F116</f>
        <v>0</v>
      </c>
      <c r="G115" s="17">
        <f>G116</f>
        <v>0</v>
      </c>
      <c r="H115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5" s="23" t="s">
        <v>17</v>
      </c>
      <c r="J115" s="23" t="s">
        <v>17</v>
      </c>
      <c r="K115" s="23" t="s">
        <v>17</v>
      </c>
      <c r="L115" s="24" t="s">
        <v>17</v>
      </c>
      <c r="M115" s="58"/>
      <c r="N115" s="52"/>
      <c r="O115" s="52"/>
      <c r="P115" s="52"/>
      <c r="Q115" s="52"/>
      <c r="R115" s="52"/>
      <c r="S115" s="52"/>
      <c r="T115" s="52"/>
      <c r="U115" s="52"/>
      <c r="V115" s="52"/>
      <c r="W115" s="52"/>
    </row>
    <row r="116" spans="1:23" ht="16.2" hidden="1" outlineLevel="3" thickBot="1" x14ac:dyDescent="0.35">
      <c r="A116" s="66" t="s">
        <v>65</v>
      </c>
      <c r="B116" s="38"/>
      <c r="C116" s="37"/>
      <c r="D116" s="37"/>
      <c r="E116" s="39"/>
      <c r="F116" s="39"/>
      <c r="G116" s="39"/>
      <c r="H116" s="39"/>
      <c r="I116" s="37"/>
      <c r="J116" s="37"/>
      <c r="K116" s="37"/>
      <c r="L116" s="67"/>
      <c r="M116" s="58"/>
      <c r="N116" s="52"/>
      <c r="O116" s="52"/>
      <c r="P116" s="52"/>
      <c r="Q116" s="52"/>
      <c r="R116" s="52"/>
      <c r="S116" s="52"/>
      <c r="T116" s="52"/>
      <c r="U116" s="52"/>
      <c r="V116" s="52"/>
      <c r="W116" s="52"/>
    </row>
    <row r="117" spans="1:23" ht="72.599999999999994" outlineLevel="1" collapsed="1" thickBot="1" x14ac:dyDescent="0.35">
      <c r="A117" s="27" t="s">
        <v>29</v>
      </c>
      <c r="B117" s="28" t="s">
        <v>30</v>
      </c>
      <c r="C117" s="23">
        <v>2021</v>
      </c>
      <c r="D117" s="23">
        <v>0.4</v>
      </c>
      <c r="E117" s="17">
        <f>SUM(E118:E133)</f>
        <v>0</v>
      </c>
      <c r="F117" s="17">
        <f>SUM(F118:F133)</f>
        <v>0</v>
      </c>
      <c r="G117" s="17">
        <f>SUM(G118:G133)</f>
        <v>0</v>
      </c>
      <c r="H117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17" s="23" t="s">
        <v>17</v>
      </c>
      <c r="J117" s="23" t="s">
        <v>17</v>
      </c>
      <c r="K117" s="23" t="s">
        <v>17</v>
      </c>
      <c r="L117" s="24" t="s">
        <v>17</v>
      </c>
      <c r="M117" s="58"/>
      <c r="N117" s="52"/>
      <c r="O117" s="52"/>
      <c r="P117" s="52"/>
      <c r="Q117" s="52"/>
      <c r="R117" s="52"/>
      <c r="S117" s="52"/>
      <c r="T117" s="52"/>
      <c r="U117" s="52"/>
      <c r="V117" s="52"/>
      <c r="W117" s="52"/>
    </row>
    <row r="118" spans="1:23" hidden="1" outlineLevel="3" x14ac:dyDescent="0.3">
      <c r="A118" s="29" t="s">
        <v>29</v>
      </c>
      <c r="B118" s="30"/>
      <c r="C118" s="309"/>
      <c r="D118" s="310"/>
      <c r="E118" s="310"/>
      <c r="F118" s="310"/>
      <c r="G118" s="308"/>
      <c r="H118" s="18"/>
      <c r="I118" s="25"/>
      <c r="J118" s="25"/>
      <c r="K118" s="25"/>
      <c r="L118" s="26"/>
      <c r="M118" s="58"/>
      <c r="N118" s="52"/>
      <c r="O118" s="52"/>
      <c r="P118" s="52"/>
      <c r="Q118" s="52"/>
      <c r="R118" s="52"/>
      <c r="S118" s="52"/>
      <c r="T118" s="52"/>
      <c r="U118" s="52"/>
      <c r="V118" s="52"/>
      <c r="W118" s="52"/>
    </row>
    <row r="119" spans="1:23" hidden="1" outlineLevel="3" x14ac:dyDescent="0.3">
      <c r="A119" s="11" t="s">
        <v>29</v>
      </c>
      <c r="B119" s="36"/>
      <c r="C119" s="10"/>
      <c r="D119" s="10"/>
      <c r="E119" s="9"/>
      <c r="F119" s="9"/>
      <c r="G119" s="9"/>
      <c r="H119" s="9"/>
      <c r="I119" s="10"/>
      <c r="J119" s="10"/>
      <c r="K119" s="10"/>
      <c r="L119" s="12"/>
      <c r="M119" s="58"/>
      <c r="N119" s="52"/>
      <c r="O119" s="52"/>
      <c r="P119" s="52"/>
      <c r="Q119" s="52"/>
      <c r="R119" s="52"/>
      <c r="S119" s="52"/>
      <c r="T119" s="52"/>
      <c r="U119" s="52"/>
      <c r="V119" s="52"/>
      <c r="W119" s="52"/>
    </row>
    <row r="120" spans="1:23" hidden="1" outlineLevel="3" x14ac:dyDescent="0.3">
      <c r="A120" s="11" t="s">
        <v>29</v>
      </c>
      <c r="B120" s="36"/>
      <c r="C120" s="10"/>
      <c r="D120" s="10"/>
      <c r="E120" s="9"/>
      <c r="F120" s="9"/>
      <c r="G120" s="9"/>
      <c r="H120" s="9"/>
      <c r="I120" s="10"/>
      <c r="J120" s="10"/>
      <c r="K120" s="10"/>
      <c r="L120" s="12"/>
      <c r="M120" s="58"/>
      <c r="N120" s="52"/>
      <c r="O120" s="52"/>
      <c r="P120" s="52"/>
      <c r="Q120" s="52"/>
      <c r="R120" s="52"/>
      <c r="S120" s="52"/>
      <c r="T120" s="52"/>
      <c r="U120" s="52"/>
      <c r="V120" s="52"/>
      <c r="W120" s="52"/>
    </row>
    <row r="121" spans="1:23" hidden="1" outlineLevel="3" x14ac:dyDescent="0.3">
      <c r="A121" s="11" t="s">
        <v>29</v>
      </c>
      <c r="B121" s="36"/>
      <c r="C121" s="10"/>
      <c r="D121" s="10"/>
      <c r="E121" s="9"/>
      <c r="F121" s="9"/>
      <c r="G121" s="9"/>
      <c r="H121" s="9"/>
      <c r="I121" s="10"/>
      <c r="J121" s="10"/>
      <c r="K121" s="10"/>
      <c r="L121" s="12"/>
      <c r="M121" s="58"/>
      <c r="N121" s="52"/>
      <c r="O121" s="52"/>
      <c r="P121" s="52"/>
      <c r="Q121" s="52"/>
      <c r="R121" s="52"/>
      <c r="S121" s="52"/>
      <c r="T121" s="52"/>
      <c r="U121" s="52"/>
      <c r="V121" s="52"/>
      <c r="W121" s="52"/>
    </row>
    <row r="122" spans="1:23" hidden="1" outlineLevel="3" x14ac:dyDescent="0.3">
      <c r="A122" s="11" t="s">
        <v>29</v>
      </c>
      <c r="B122" s="36"/>
      <c r="C122" s="10"/>
      <c r="D122" s="10"/>
      <c r="E122" s="9"/>
      <c r="F122" s="9"/>
      <c r="G122" s="9"/>
      <c r="H122" s="9"/>
      <c r="I122" s="10"/>
      <c r="J122" s="10"/>
      <c r="K122" s="10"/>
      <c r="L122" s="12"/>
      <c r="M122" s="58"/>
      <c r="N122" s="52"/>
      <c r="O122" s="52"/>
      <c r="P122" s="52"/>
      <c r="Q122" s="52"/>
      <c r="R122" s="52"/>
      <c r="S122" s="52"/>
      <c r="T122" s="52"/>
      <c r="U122" s="52"/>
      <c r="V122" s="52"/>
      <c r="W122" s="52"/>
    </row>
    <row r="123" spans="1:23" hidden="1" outlineLevel="3" x14ac:dyDescent="0.3">
      <c r="A123" s="11" t="s">
        <v>29</v>
      </c>
      <c r="B123" s="36"/>
      <c r="C123" s="10"/>
      <c r="D123" s="10"/>
      <c r="E123" s="9"/>
      <c r="F123" s="9"/>
      <c r="G123" s="9"/>
      <c r="H123" s="9"/>
      <c r="I123" s="10"/>
      <c r="J123" s="10"/>
      <c r="K123" s="10"/>
      <c r="L123" s="12"/>
      <c r="M123" s="58"/>
      <c r="N123" s="52"/>
      <c r="O123" s="52"/>
      <c r="P123" s="52"/>
      <c r="Q123" s="52"/>
      <c r="R123" s="52"/>
      <c r="S123" s="52"/>
      <c r="T123" s="52"/>
      <c r="U123" s="52"/>
      <c r="V123" s="52"/>
      <c r="W123" s="52"/>
    </row>
    <row r="124" spans="1:23" hidden="1" outlineLevel="3" x14ac:dyDescent="0.3">
      <c r="A124" s="11" t="s">
        <v>29</v>
      </c>
      <c r="B124" s="36"/>
      <c r="C124" s="10"/>
      <c r="D124" s="10"/>
      <c r="E124" s="9"/>
      <c r="F124" s="9"/>
      <c r="G124" s="9"/>
      <c r="H124" s="9"/>
      <c r="I124" s="10"/>
      <c r="J124" s="10"/>
      <c r="K124" s="10"/>
      <c r="L124" s="12"/>
      <c r="M124" s="58"/>
      <c r="N124" s="52"/>
      <c r="O124" s="52"/>
      <c r="P124" s="52"/>
      <c r="Q124" s="52"/>
      <c r="R124" s="52"/>
      <c r="S124" s="52"/>
      <c r="T124" s="52"/>
      <c r="U124" s="52"/>
      <c r="V124" s="52"/>
      <c r="W124" s="52"/>
    </row>
    <row r="125" spans="1:23" hidden="1" outlineLevel="3" x14ac:dyDescent="0.3">
      <c r="A125" s="11" t="s">
        <v>29</v>
      </c>
      <c r="B125" s="36"/>
      <c r="C125" s="10"/>
      <c r="D125" s="10"/>
      <c r="E125" s="9"/>
      <c r="F125" s="9"/>
      <c r="G125" s="9"/>
      <c r="H125" s="9"/>
      <c r="I125" s="10"/>
      <c r="J125" s="10"/>
      <c r="K125" s="10"/>
      <c r="L125" s="12"/>
      <c r="M125" s="58"/>
      <c r="N125" s="52"/>
      <c r="O125" s="52"/>
      <c r="P125" s="52"/>
      <c r="Q125" s="52"/>
      <c r="R125" s="52"/>
      <c r="S125" s="52"/>
      <c r="T125" s="52"/>
      <c r="U125" s="52"/>
      <c r="V125" s="52"/>
      <c r="W125" s="52"/>
    </row>
    <row r="126" spans="1:23" hidden="1" outlineLevel="3" x14ac:dyDescent="0.3">
      <c r="A126" s="11" t="s">
        <v>29</v>
      </c>
      <c r="B126" s="36"/>
      <c r="C126" s="10"/>
      <c r="D126" s="10"/>
      <c r="E126" s="9"/>
      <c r="F126" s="9"/>
      <c r="G126" s="9"/>
      <c r="H126" s="9"/>
      <c r="I126" s="10"/>
      <c r="J126" s="10"/>
      <c r="K126" s="10"/>
      <c r="L126" s="12"/>
      <c r="M126" s="58"/>
      <c r="N126" s="52"/>
      <c r="O126" s="52"/>
      <c r="P126" s="52"/>
      <c r="Q126" s="52"/>
      <c r="R126" s="52"/>
      <c r="S126" s="52"/>
      <c r="T126" s="52"/>
      <c r="U126" s="52"/>
      <c r="V126" s="52"/>
      <c r="W126" s="52"/>
    </row>
    <row r="127" spans="1:23" hidden="1" outlineLevel="3" x14ac:dyDescent="0.3">
      <c r="A127" s="11" t="s">
        <v>29</v>
      </c>
      <c r="B127" s="36"/>
      <c r="C127" s="10"/>
      <c r="D127" s="10"/>
      <c r="E127" s="9"/>
      <c r="F127" s="9"/>
      <c r="G127" s="9"/>
      <c r="H127" s="9"/>
      <c r="I127" s="10"/>
      <c r="J127" s="10"/>
      <c r="K127" s="10"/>
      <c r="L127" s="12"/>
      <c r="M127" s="58"/>
      <c r="N127" s="52"/>
      <c r="O127" s="52"/>
      <c r="P127" s="52"/>
      <c r="Q127" s="52"/>
      <c r="R127" s="52"/>
      <c r="S127" s="52"/>
      <c r="T127" s="52"/>
      <c r="U127" s="52"/>
      <c r="V127" s="52"/>
      <c r="W127" s="52"/>
    </row>
    <row r="128" spans="1:23" hidden="1" outlineLevel="3" x14ac:dyDescent="0.3">
      <c r="A128" s="11" t="s">
        <v>29</v>
      </c>
      <c r="B128" s="36"/>
      <c r="C128" s="10"/>
      <c r="D128" s="10"/>
      <c r="E128" s="9"/>
      <c r="F128" s="9"/>
      <c r="G128" s="9"/>
      <c r="H128" s="9"/>
      <c r="I128" s="10"/>
      <c r="J128" s="10"/>
      <c r="K128" s="10"/>
      <c r="L128" s="12"/>
      <c r="M128" s="58"/>
      <c r="N128" s="52"/>
      <c r="O128" s="52"/>
      <c r="P128" s="52"/>
      <c r="Q128" s="52"/>
      <c r="R128" s="52"/>
      <c r="S128" s="52"/>
      <c r="T128" s="52"/>
      <c r="U128" s="52"/>
      <c r="V128" s="52"/>
      <c r="W128" s="52"/>
    </row>
    <row r="129" spans="1:23" hidden="1" outlineLevel="3" x14ac:dyDescent="0.3">
      <c r="A129" s="11" t="s">
        <v>29</v>
      </c>
      <c r="B129" s="36"/>
      <c r="C129" s="10"/>
      <c r="D129" s="10"/>
      <c r="E129" s="9"/>
      <c r="F129" s="9"/>
      <c r="G129" s="9"/>
      <c r="H129" s="9"/>
      <c r="I129" s="10"/>
      <c r="J129" s="10"/>
      <c r="K129" s="10"/>
      <c r="L129" s="12"/>
      <c r="M129" s="58"/>
      <c r="N129" s="52"/>
      <c r="O129" s="52"/>
      <c r="P129" s="52"/>
      <c r="Q129" s="52"/>
      <c r="R129" s="52"/>
      <c r="S129" s="52"/>
      <c r="T129" s="52"/>
      <c r="U129" s="52"/>
      <c r="V129" s="52"/>
      <c r="W129" s="52"/>
    </row>
    <row r="130" spans="1:23" hidden="1" outlineLevel="3" x14ac:dyDescent="0.3">
      <c r="A130" s="11" t="s">
        <v>29</v>
      </c>
      <c r="B130" s="36"/>
      <c r="C130" s="10"/>
      <c r="D130" s="10"/>
      <c r="E130" s="9"/>
      <c r="F130" s="9"/>
      <c r="G130" s="9"/>
      <c r="H130" s="9"/>
      <c r="I130" s="10"/>
      <c r="J130" s="10"/>
      <c r="K130" s="10"/>
      <c r="L130" s="12"/>
      <c r="M130" s="58"/>
      <c r="N130" s="52"/>
      <c r="O130" s="52"/>
      <c r="P130" s="52"/>
      <c r="Q130" s="52"/>
      <c r="R130" s="52"/>
      <c r="S130" s="52"/>
      <c r="T130" s="52"/>
      <c r="U130" s="52"/>
      <c r="V130" s="52"/>
      <c r="W130" s="52"/>
    </row>
    <row r="131" spans="1:23" hidden="1" outlineLevel="3" x14ac:dyDescent="0.3">
      <c r="A131" s="11" t="s">
        <v>29</v>
      </c>
      <c r="B131" s="36"/>
      <c r="C131" s="10"/>
      <c r="D131" s="10"/>
      <c r="E131" s="9"/>
      <c r="F131" s="9"/>
      <c r="G131" s="9"/>
      <c r="H131" s="9"/>
      <c r="I131" s="10"/>
      <c r="J131" s="10"/>
      <c r="K131" s="10"/>
      <c r="L131" s="12"/>
      <c r="M131" s="58"/>
      <c r="N131" s="52"/>
      <c r="O131" s="52"/>
      <c r="P131" s="52"/>
      <c r="Q131" s="52"/>
      <c r="R131" s="52"/>
      <c r="S131" s="52"/>
      <c r="T131" s="52"/>
      <c r="U131" s="52"/>
      <c r="V131" s="52"/>
      <c r="W131" s="52"/>
    </row>
    <row r="132" spans="1:23" hidden="1" outlineLevel="3" x14ac:dyDescent="0.3">
      <c r="A132" s="11" t="s">
        <v>29</v>
      </c>
      <c r="B132" s="36"/>
      <c r="C132" s="10"/>
      <c r="D132" s="10"/>
      <c r="E132" s="9"/>
      <c r="F132" s="9"/>
      <c r="G132" s="9"/>
      <c r="H132" s="9"/>
      <c r="I132" s="10"/>
      <c r="J132" s="10"/>
      <c r="K132" s="10"/>
      <c r="L132" s="12"/>
      <c r="M132" s="58"/>
      <c r="N132" s="52"/>
      <c r="O132" s="52"/>
      <c r="P132" s="52"/>
      <c r="Q132" s="52"/>
      <c r="R132" s="52"/>
      <c r="S132" s="52"/>
      <c r="T132" s="52"/>
      <c r="U132" s="52"/>
      <c r="V132" s="52"/>
      <c r="W132" s="52"/>
    </row>
    <row r="133" spans="1:23" ht="16.2" hidden="1" outlineLevel="3" thickBot="1" x14ac:dyDescent="0.35">
      <c r="A133" s="13" t="s">
        <v>29</v>
      </c>
      <c r="B133" s="40"/>
      <c r="C133" s="15"/>
      <c r="D133" s="15"/>
      <c r="E133" s="14"/>
      <c r="F133" s="14"/>
      <c r="G133" s="14"/>
      <c r="H133" s="14"/>
      <c r="I133" s="15"/>
      <c r="J133" s="15"/>
      <c r="K133" s="15"/>
      <c r="L133" s="16"/>
      <c r="M133" s="58"/>
      <c r="N133" s="52"/>
      <c r="O133" s="52"/>
      <c r="P133" s="52"/>
      <c r="Q133" s="52"/>
      <c r="R133" s="52"/>
      <c r="S133" s="52"/>
      <c r="T133" s="52"/>
      <c r="U133" s="52"/>
      <c r="V133" s="52"/>
      <c r="W133" s="52"/>
    </row>
    <row r="134" spans="1:23" ht="72.599999999999994" outlineLevel="2" collapsed="1" thickBot="1" x14ac:dyDescent="0.35">
      <c r="A134" s="27" t="s">
        <v>31</v>
      </c>
      <c r="B134" s="28" t="s">
        <v>32</v>
      </c>
      <c r="C134" s="23">
        <v>2021</v>
      </c>
      <c r="D134" s="23">
        <v>0.4</v>
      </c>
      <c r="E134" s="17">
        <f>SUM(E135:E136)</f>
        <v>0</v>
      </c>
      <c r="F134" s="17">
        <f>SUM(F135:F136)</f>
        <v>0</v>
      </c>
      <c r="G134" s="17">
        <f>SUM(G135:G136)</f>
        <v>0</v>
      </c>
      <c r="H134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4" s="23" t="s">
        <v>17</v>
      </c>
      <c r="J134" s="23" t="s">
        <v>17</v>
      </c>
      <c r="K134" s="23" t="s">
        <v>17</v>
      </c>
      <c r="L134" s="24" t="s">
        <v>17</v>
      </c>
      <c r="M134" s="58"/>
      <c r="N134" s="52"/>
      <c r="O134" s="52"/>
      <c r="P134" s="52"/>
      <c r="Q134" s="52"/>
      <c r="R134" s="52"/>
      <c r="S134" s="52"/>
      <c r="T134" s="52"/>
      <c r="U134" s="52"/>
      <c r="V134" s="52"/>
      <c r="W134" s="52"/>
    </row>
    <row r="135" spans="1:23" hidden="1" outlineLevel="3" x14ac:dyDescent="0.3">
      <c r="A135" s="29" t="s">
        <v>31</v>
      </c>
      <c r="B135" s="30"/>
      <c r="C135" s="25"/>
      <c r="D135" s="25"/>
      <c r="E135" s="18"/>
      <c r="F135" s="18"/>
      <c r="G135" s="18"/>
      <c r="H135" s="18"/>
      <c r="I135" s="25"/>
      <c r="J135" s="25"/>
      <c r="K135" s="25"/>
      <c r="L135" s="26"/>
      <c r="M135" s="58"/>
      <c r="N135" s="52"/>
      <c r="O135" s="52"/>
      <c r="P135" s="52"/>
      <c r="Q135" s="52"/>
      <c r="R135" s="52"/>
      <c r="S135" s="52"/>
      <c r="T135" s="52"/>
      <c r="U135" s="52"/>
      <c r="V135" s="52"/>
      <c r="W135" s="52"/>
    </row>
    <row r="136" spans="1:23" ht="16.2" hidden="1" outlineLevel="3" thickBot="1" x14ac:dyDescent="0.35">
      <c r="A136" s="13" t="s">
        <v>31</v>
      </c>
      <c r="B136" s="40"/>
      <c r="C136" s="15"/>
      <c r="D136" s="15"/>
      <c r="E136" s="14"/>
      <c r="F136" s="14"/>
      <c r="G136" s="14"/>
      <c r="H136" s="14"/>
      <c r="I136" s="15"/>
      <c r="J136" s="15"/>
      <c r="K136" s="15"/>
      <c r="L136" s="16"/>
      <c r="M136" s="58"/>
      <c r="N136" s="52"/>
      <c r="O136" s="52"/>
      <c r="P136" s="52"/>
      <c r="Q136" s="52"/>
      <c r="R136" s="52"/>
      <c r="S136" s="52"/>
      <c r="T136" s="52"/>
      <c r="U136" s="52"/>
      <c r="V136" s="52"/>
      <c r="W136" s="52"/>
    </row>
    <row r="137" spans="1:23" ht="72.599999999999994" outlineLevel="2" collapsed="1" thickBot="1" x14ac:dyDescent="0.35">
      <c r="A137" s="27" t="s">
        <v>33</v>
      </c>
      <c r="B137" s="28" t="s">
        <v>34</v>
      </c>
      <c r="C137" s="23">
        <v>2021</v>
      </c>
      <c r="D137" s="23">
        <v>6</v>
      </c>
      <c r="E137" s="17">
        <f>SUM(E138:E139)</f>
        <v>0</v>
      </c>
      <c r="F137" s="17">
        <f>SUM(F138:F139)</f>
        <v>0</v>
      </c>
      <c r="G137" s="17">
        <f>SUM(G138:G139)</f>
        <v>0</v>
      </c>
      <c r="H137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37" s="23" t="s">
        <v>17</v>
      </c>
      <c r="J137" s="23" t="s">
        <v>17</v>
      </c>
      <c r="K137" s="23" t="s">
        <v>17</v>
      </c>
      <c r="L137" s="24" t="s">
        <v>17</v>
      </c>
      <c r="M137" s="58"/>
      <c r="N137" s="52"/>
      <c r="O137" s="52"/>
      <c r="P137" s="52"/>
      <c r="Q137" s="52"/>
      <c r="R137" s="52"/>
      <c r="S137" s="52"/>
      <c r="T137" s="52"/>
      <c r="U137" s="52"/>
      <c r="V137" s="52"/>
      <c r="W137" s="52"/>
    </row>
    <row r="138" spans="1:23" hidden="1" outlineLevel="3" x14ac:dyDescent="0.3">
      <c r="A138" s="29" t="s">
        <v>33</v>
      </c>
      <c r="B138" s="30"/>
      <c r="C138" s="25"/>
      <c r="D138" s="25"/>
      <c r="E138" s="18"/>
      <c r="F138" s="18"/>
      <c r="G138" s="18"/>
      <c r="H138" s="18"/>
      <c r="I138" s="25"/>
      <c r="J138" s="25"/>
      <c r="K138" s="25"/>
      <c r="L138" s="26"/>
      <c r="M138" s="58"/>
      <c r="N138" s="52"/>
      <c r="O138" s="52"/>
      <c r="P138" s="52"/>
      <c r="Q138" s="52"/>
      <c r="R138" s="52"/>
      <c r="S138" s="52"/>
      <c r="T138" s="52"/>
      <c r="U138" s="52"/>
      <c r="V138" s="52"/>
      <c r="W138" s="52"/>
    </row>
    <row r="139" spans="1:23" ht="16.2" hidden="1" outlineLevel="3" thickBot="1" x14ac:dyDescent="0.35">
      <c r="A139" s="13" t="s">
        <v>33</v>
      </c>
      <c r="B139" s="40"/>
      <c r="C139" s="15"/>
      <c r="D139" s="15"/>
      <c r="E139" s="14"/>
      <c r="F139" s="14"/>
      <c r="G139" s="14"/>
      <c r="H139" s="14"/>
      <c r="I139" s="15"/>
      <c r="J139" s="15"/>
      <c r="K139" s="15"/>
      <c r="L139" s="16"/>
      <c r="M139" s="58"/>
      <c r="N139" s="52"/>
      <c r="O139" s="52"/>
      <c r="P139" s="52"/>
      <c r="Q139" s="52"/>
      <c r="R139" s="52"/>
      <c r="S139" s="52"/>
      <c r="T139" s="52"/>
      <c r="U139" s="52"/>
      <c r="V139" s="52"/>
      <c r="W139" s="52"/>
    </row>
    <row r="140" spans="1:23" ht="72.599999999999994" outlineLevel="2" collapsed="1" thickBot="1" x14ac:dyDescent="0.35">
      <c r="A140" s="27" t="s">
        <v>35</v>
      </c>
      <c r="B140" s="28" t="s">
        <v>36</v>
      </c>
      <c r="C140" s="23">
        <v>2021</v>
      </c>
      <c r="D140" s="23">
        <v>6</v>
      </c>
      <c r="E140" s="17">
        <f>SUM(E141:E142)</f>
        <v>520</v>
      </c>
      <c r="F140" s="17">
        <f>SUM(F141:F142)</f>
        <v>100</v>
      </c>
      <c r="G140" s="17">
        <f>SUM(G141:G142)</f>
        <v>491.99292000000003</v>
      </c>
      <c r="H140" s="17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0.94614023076923082</v>
      </c>
      <c r="I140" s="23" t="s">
        <v>17</v>
      </c>
      <c r="J140" s="23" t="s">
        <v>17</v>
      </c>
      <c r="K140" s="23" t="s">
        <v>17</v>
      </c>
      <c r="L140" s="24" t="s">
        <v>17</v>
      </c>
      <c r="M140" s="58"/>
      <c r="N140" s="52"/>
      <c r="O140" s="52"/>
      <c r="P140" s="52"/>
      <c r="Q140" s="52"/>
      <c r="R140" s="52"/>
      <c r="S140" s="52"/>
      <c r="T140" s="52"/>
      <c r="U140" s="52"/>
      <c r="V140" s="52"/>
      <c r="W140" s="52"/>
    </row>
    <row r="141" spans="1:23" s="273" customFormat="1" ht="31.8" outlineLevel="2" thickBot="1" x14ac:dyDescent="0.35">
      <c r="A141" s="314" t="s">
        <v>35</v>
      </c>
      <c r="B141" s="333" t="s">
        <v>642</v>
      </c>
      <c r="C141" s="334">
        <v>2021</v>
      </c>
      <c r="D141" s="335">
        <v>6</v>
      </c>
      <c r="E141" s="335">
        <v>520</v>
      </c>
      <c r="F141" s="335">
        <v>100</v>
      </c>
      <c r="G141" s="332">
        <v>491.99292000000003</v>
      </c>
      <c r="H141" s="336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0.94614023076923082</v>
      </c>
      <c r="I141" s="268" t="s">
        <v>268</v>
      </c>
      <c r="J141" s="321" t="s">
        <v>269</v>
      </c>
      <c r="K141" s="263" t="s">
        <v>165</v>
      </c>
      <c r="L141" s="337" t="s">
        <v>164</v>
      </c>
      <c r="M141" s="271"/>
      <c r="N141" s="272"/>
      <c r="O141" s="272"/>
      <c r="P141" s="272"/>
      <c r="Q141" s="272"/>
      <c r="R141" s="272"/>
      <c r="S141" s="272"/>
      <c r="T141" s="272"/>
      <c r="U141" s="272"/>
      <c r="V141" s="272"/>
      <c r="W141" s="272"/>
    </row>
    <row r="142" spans="1:23" ht="16.2" hidden="1" outlineLevel="3" thickBot="1" x14ac:dyDescent="0.35">
      <c r="A142" s="13" t="s">
        <v>35</v>
      </c>
      <c r="B142" s="40"/>
      <c r="C142" s="15"/>
      <c r="D142" s="15"/>
      <c r="E142" s="14"/>
      <c r="F142" s="14"/>
      <c r="G142" s="14"/>
      <c r="H142" s="14"/>
      <c r="I142" s="15"/>
      <c r="J142" s="15"/>
      <c r="K142" s="15"/>
      <c r="L142" s="16"/>
      <c r="M142" s="58"/>
      <c r="N142" s="52"/>
      <c r="O142" s="52"/>
      <c r="P142" s="52"/>
      <c r="Q142" s="52"/>
      <c r="R142" s="52"/>
      <c r="S142" s="52"/>
      <c r="T142" s="52"/>
      <c r="U142" s="52"/>
      <c r="V142" s="52"/>
      <c r="W142" s="52"/>
    </row>
    <row r="143" spans="1:23" ht="90.6" outlineLevel="2" collapsed="1" thickBot="1" x14ac:dyDescent="0.35">
      <c r="A143" s="27" t="s">
        <v>67</v>
      </c>
      <c r="B143" s="28" t="s">
        <v>68</v>
      </c>
      <c r="C143" s="23"/>
      <c r="D143" s="23">
        <v>6</v>
      </c>
      <c r="E143" s="17">
        <f>E144</f>
        <v>0</v>
      </c>
      <c r="F143" s="17">
        <f>F144</f>
        <v>0</v>
      </c>
      <c r="G143" s="17">
        <f>G144</f>
        <v>0</v>
      </c>
      <c r="H143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3" s="23" t="s">
        <v>17</v>
      </c>
      <c r="J143" s="23" t="s">
        <v>17</v>
      </c>
      <c r="K143" s="23" t="s">
        <v>17</v>
      </c>
      <c r="L143" s="24" t="s">
        <v>17</v>
      </c>
      <c r="M143" s="58"/>
      <c r="N143" s="52"/>
      <c r="O143" s="52"/>
      <c r="P143" s="52"/>
      <c r="Q143" s="52"/>
      <c r="R143" s="52"/>
      <c r="S143" s="52"/>
      <c r="T143" s="52"/>
      <c r="U143" s="52"/>
      <c r="V143" s="52"/>
      <c r="W143" s="52"/>
    </row>
    <row r="144" spans="1:23" ht="16.2" outlineLevel="2" thickBot="1" x14ac:dyDescent="0.35">
      <c r="A144" s="29" t="s">
        <v>67</v>
      </c>
      <c r="B144" s="30"/>
      <c r="C144" s="25"/>
      <c r="D144" s="25"/>
      <c r="E144" s="18"/>
      <c r="F144" s="18"/>
      <c r="G144" s="18"/>
      <c r="H144" s="18"/>
      <c r="I144" s="25"/>
      <c r="J144" s="25"/>
      <c r="K144" s="25"/>
      <c r="L144" s="26"/>
      <c r="M144" s="58"/>
      <c r="N144" s="52"/>
      <c r="O144" s="52"/>
      <c r="P144" s="52"/>
      <c r="Q144" s="52"/>
      <c r="R144" s="52"/>
      <c r="S144" s="52"/>
      <c r="T144" s="52"/>
      <c r="U144" s="52"/>
      <c r="V144" s="52"/>
      <c r="W144" s="52"/>
    </row>
    <row r="145" spans="1:23" ht="72.599999999999994" outlineLevel="2" thickBot="1" x14ac:dyDescent="0.35">
      <c r="A145" s="73" t="s">
        <v>59</v>
      </c>
      <c r="B145" s="46" t="s">
        <v>69</v>
      </c>
      <c r="C145" s="45"/>
      <c r="D145" s="45">
        <v>6</v>
      </c>
      <c r="E145" s="22">
        <f>SUM(E146:E147)</f>
        <v>0</v>
      </c>
      <c r="F145" s="22">
        <f>SUM(F146:F147)</f>
        <v>0</v>
      </c>
      <c r="G145" s="22">
        <f>SUM(G146:G147)</f>
        <v>0</v>
      </c>
      <c r="H145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5" s="23" t="s">
        <v>17</v>
      </c>
      <c r="J145" s="23" t="s">
        <v>17</v>
      </c>
      <c r="K145" s="23" t="s">
        <v>17</v>
      </c>
      <c r="L145" s="24" t="s">
        <v>17</v>
      </c>
      <c r="M145" s="58"/>
      <c r="N145" s="52"/>
      <c r="O145" s="52"/>
      <c r="P145" s="52"/>
      <c r="Q145" s="52"/>
      <c r="R145" s="52"/>
      <c r="S145" s="52"/>
      <c r="T145" s="52"/>
      <c r="U145" s="52"/>
      <c r="V145" s="52"/>
      <c r="W145" s="52"/>
    </row>
    <row r="146" spans="1:23" outlineLevel="2" x14ac:dyDescent="0.3">
      <c r="A146" s="11" t="s">
        <v>59</v>
      </c>
      <c r="B146" s="36"/>
      <c r="C146" s="10"/>
      <c r="D146" s="10"/>
      <c r="E146" s="9"/>
      <c r="F146" s="9"/>
      <c r="G146" s="9"/>
      <c r="H146" s="9"/>
      <c r="I146" s="10"/>
      <c r="J146" s="10"/>
      <c r="K146" s="10"/>
      <c r="L146" s="12"/>
      <c r="M146" s="58"/>
      <c r="N146" s="52"/>
      <c r="O146" s="52"/>
      <c r="P146" s="52"/>
      <c r="Q146" s="52"/>
      <c r="R146" s="52"/>
      <c r="S146" s="52"/>
      <c r="T146" s="52"/>
      <c r="U146" s="52"/>
      <c r="V146" s="52"/>
      <c r="W146" s="52"/>
    </row>
    <row r="147" spans="1:23" ht="16.2" outlineLevel="2" thickBot="1" x14ac:dyDescent="0.35">
      <c r="A147" s="13" t="s">
        <v>59</v>
      </c>
      <c r="B147" s="40"/>
      <c r="C147" s="15"/>
      <c r="D147" s="15"/>
      <c r="E147" s="14"/>
      <c r="F147" s="14"/>
      <c r="G147" s="14"/>
      <c r="H147" s="14"/>
      <c r="I147" s="15"/>
      <c r="J147" s="15"/>
      <c r="K147" s="15"/>
      <c r="L147" s="16"/>
      <c r="M147" s="58"/>
      <c r="N147" s="52"/>
      <c r="O147" s="52"/>
      <c r="P147" s="52"/>
      <c r="Q147" s="52"/>
      <c r="R147" s="52"/>
      <c r="S147" s="52"/>
      <c r="T147" s="52"/>
      <c r="U147" s="52"/>
      <c r="V147" s="52"/>
      <c r="W147" s="52"/>
    </row>
    <row r="148" spans="1:23" ht="72.599999999999994" outlineLevel="2" thickBot="1" x14ac:dyDescent="0.35">
      <c r="A148" s="27" t="s">
        <v>57</v>
      </c>
      <c r="B148" s="28" t="s">
        <v>70</v>
      </c>
      <c r="C148" s="23"/>
      <c r="D148" s="23">
        <v>6</v>
      </c>
      <c r="E148" s="17">
        <f>SUM(E149:E150)</f>
        <v>0</v>
      </c>
      <c r="F148" s="17">
        <f>SUM(F149:F150)</f>
        <v>0</v>
      </c>
      <c r="G148" s="17">
        <f>SUM(G149:G150)</f>
        <v>0</v>
      </c>
      <c r="H148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48" s="23" t="s">
        <v>17</v>
      </c>
      <c r="J148" s="23" t="s">
        <v>17</v>
      </c>
      <c r="K148" s="23" t="s">
        <v>17</v>
      </c>
      <c r="L148" s="24" t="s">
        <v>17</v>
      </c>
      <c r="M148" s="58"/>
      <c r="N148" s="52"/>
      <c r="O148" s="52"/>
      <c r="P148" s="52"/>
      <c r="Q148" s="52"/>
      <c r="R148" s="52"/>
      <c r="S148" s="52"/>
      <c r="T148" s="52"/>
      <c r="U148" s="52"/>
      <c r="V148" s="52"/>
      <c r="W148" s="52"/>
    </row>
    <row r="149" spans="1:23" outlineLevel="2" x14ac:dyDescent="0.3">
      <c r="A149" s="29" t="s">
        <v>57</v>
      </c>
      <c r="B149" s="30"/>
      <c r="C149" s="25"/>
      <c r="D149" s="25"/>
      <c r="E149" s="18"/>
      <c r="F149" s="18"/>
      <c r="G149" s="18"/>
      <c r="H149" s="18"/>
      <c r="I149" s="25"/>
      <c r="J149" s="25"/>
      <c r="K149" s="25"/>
      <c r="L149" s="26"/>
      <c r="M149" s="58"/>
      <c r="N149" s="52"/>
      <c r="O149" s="52"/>
      <c r="P149" s="52"/>
      <c r="Q149" s="52"/>
      <c r="R149" s="52"/>
      <c r="S149" s="52"/>
      <c r="T149" s="52"/>
      <c r="U149" s="52"/>
      <c r="V149" s="52"/>
      <c r="W149" s="52"/>
    </row>
    <row r="150" spans="1:23" ht="16.2" outlineLevel="2" thickBot="1" x14ac:dyDescent="0.35">
      <c r="A150" s="13" t="s">
        <v>57</v>
      </c>
      <c r="B150" s="40"/>
      <c r="C150" s="15"/>
      <c r="D150" s="15"/>
      <c r="E150" s="14"/>
      <c r="F150" s="14"/>
      <c r="G150" s="14"/>
      <c r="H150" s="14"/>
      <c r="I150" s="15"/>
      <c r="J150" s="15"/>
      <c r="K150" s="15"/>
      <c r="L150" s="16"/>
      <c r="M150" s="58"/>
      <c r="N150" s="52"/>
      <c r="O150" s="52"/>
      <c r="P150" s="52"/>
      <c r="Q150" s="52"/>
      <c r="R150" s="52"/>
      <c r="S150" s="52"/>
      <c r="T150" s="52"/>
      <c r="U150" s="52"/>
      <c r="V150" s="52"/>
      <c r="W150" s="52"/>
    </row>
    <row r="151" spans="1:23" ht="108.6" outlineLevel="2" thickBot="1" x14ac:dyDescent="0.35">
      <c r="A151" s="27" t="s">
        <v>37</v>
      </c>
      <c r="B151" s="28" t="s">
        <v>38</v>
      </c>
      <c r="C151" s="23"/>
      <c r="D151" s="23">
        <v>0.4</v>
      </c>
      <c r="E151" s="17">
        <f>SUM(E152:E153)</f>
        <v>0</v>
      </c>
      <c r="F151" s="17">
        <f>SUM(F152:F153)</f>
        <v>0</v>
      </c>
      <c r="G151" s="17">
        <f>SUM(G152:G153)</f>
        <v>0</v>
      </c>
      <c r="H151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1" s="23" t="s">
        <v>17</v>
      </c>
      <c r="J151" s="23" t="s">
        <v>17</v>
      </c>
      <c r="K151" s="23" t="s">
        <v>17</v>
      </c>
      <c r="L151" s="24" t="s">
        <v>17</v>
      </c>
      <c r="M151" s="58"/>
      <c r="N151" s="52"/>
      <c r="O151" s="52"/>
      <c r="P151" s="52"/>
      <c r="Q151" s="52"/>
      <c r="R151" s="52"/>
      <c r="S151" s="52"/>
      <c r="T151" s="52"/>
      <c r="U151" s="52"/>
      <c r="V151" s="52"/>
      <c r="W151" s="52"/>
    </row>
    <row r="152" spans="1:23" outlineLevel="2" x14ac:dyDescent="0.3">
      <c r="A152" s="29" t="s">
        <v>37</v>
      </c>
      <c r="B152" s="30"/>
      <c r="C152" s="25"/>
      <c r="D152" s="25"/>
      <c r="E152" s="18"/>
      <c r="F152" s="18"/>
      <c r="G152" s="18"/>
      <c r="H152" s="18"/>
      <c r="I152" s="25"/>
      <c r="J152" s="25"/>
      <c r="K152" s="25"/>
      <c r="L152" s="26"/>
      <c r="M152" s="58"/>
      <c r="N152" s="52"/>
      <c r="O152" s="52"/>
      <c r="P152" s="52"/>
      <c r="Q152" s="52"/>
      <c r="R152" s="52"/>
      <c r="S152" s="52"/>
      <c r="T152" s="52"/>
      <c r="U152" s="52"/>
      <c r="V152" s="52"/>
      <c r="W152" s="52"/>
    </row>
    <row r="153" spans="1:23" ht="16.2" outlineLevel="2" thickBot="1" x14ac:dyDescent="0.35">
      <c r="A153" s="13" t="s">
        <v>37</v>
      </c>
      <c r="B153" s="40"/>
      <c r="C153" s="15"/>
      <c r="D153" s="15"/>
      <c r="E153" s="14"/>
      <c r="F153" s="14"/>
      <c r="G153" s="14"/>
      <c r="H153" s="14"/>
      <c r="I153" s="15"/>
      <c r="J153" s="15"/>
      <c r="K153" s="15"/>
      <c r="L153" s="16"/>
      <c r="M153" s="58"/>
      <c r="N153" s="52"/>
      <c r="O153" s="52"/>
      <c r="P153" s="52"/>
      <c r="Q153" s="52"/>
      <c r="R153" s="52"/>
      <c r="S153" s="52"/>
      <c r="T153" s="52"/>
      <c r="U153" s="52"/>
      <c r="V153" s="52"/>
      <c r="W153" s="52"/>
    </row>
    <row r="154" spans="1:23" ht="108.6" outlineLevel="2" thickBot="1" x14ac:dyDescent="0.35">
      <c r="A154" s="27" t="s">
        <v>39</v>
      </c>
      <c r="B154" s="28" t="s">
        <v>40</v>
      </c>
      <c r="C154" s="23"/>
      <c r="D154" s="23">
        <v>0.4</v>
      </c>
      <c r="E154" s="17">
        <f>E155</f>
        <v>0</v>
      </c>
      <c r="F154" s="17">
        <f>F155</f>
        <v>0</v>
      </c>
      <c r="G154" s="17">
        <f>G155</f>
        <v>0</v>
      </c>
      <c r="H154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4" s="23" t="s">
        <v>17</v>
      </c>
      <c r="J154" s="23" t="s">
        <v>17</v>
      </c>
      <c r="K154" s="23" t="s">
        <v>17</v>
      </c>
      <c r="L154" s="24" t="s">
        <v>17</v>
      </c>
      <c r="M154" s="58"/>
      <c r="N154" s="52"/>
      <c r="O154" s="52"/>
      <c r="P154" s="52"/>
      <c r="Q154" s="52"/>
      <c r="R154" s="52"/>
      <c r="S154" s="52"/>
      <c r="T154" s="52"/>
      <c r="U154" s="52"/>
      <c r="V154" s="52"/>
      <c r="W154" s="52"/>
    </row>
    <row r="155" spans="1:23" ht="16.2" outlineLevel="2" thickBot="1" x14ac:dyDescent="0.35">
      <c r="A155" s="66" t="s">
        <v>39</v>
      </c>
      <c r="B155" s="38"/>
      <c r="C155" s="37"/>
      <c r="D155" s="37"/>
      <c r="E155" s="39"/>
      <c r="F155" s="39"/>
      <c r="G155" s="39"/>
      <c r="H155" s="39"/>
      <c r="I155" s="37"/>
      <c r="J155" s="37"/>
      <c r="K155" s="37"/>
      <c r="L155" s="67"/>
      <c r="M155" s="58"/>
      <c r="N155" s="52"/>
      <c r="O155" s="52"/>
      <c r="P155" s="52"/>
      <c r="Q155" s="52"/>
      <c r="R155" s="52"/>
      <c r="S155" s="52"/>
      <c r="T155" s="52"/>
      <c r="U155" s="52"/>
      <c r="V155" s="52"/>
      <c r="W155" s="52"/>
    </row>
    <row r="156" spans="1:23" ht="90.6" outlineLevel="2" thickBot="1" x14ac:dyDescent="0.35">
      <c r="A156" s="27" t="s">
        <v>41</v>
      </c>
      <c r="B156" s="28" t="s">
        <v>42</v>
      </c>
      <c r="C156" s="23"/>
      <c r="D156" s="23">
        <v>6</v>
      </c>
      <c r="E156" s="17">
        <f>E157</f>
        <v>0</v>
      </c>
      <c r="F156" s="17">
        <f>F157</f>
        <v>0</v>
      </c>
      <c r="G156" s="17">
        <f>G157</f>
        <v>0</v>
      </c>
      <c r="H156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6" s="23" t="s">
        <v>17</v>
      </c>
      <c r="J156" s="23" t="s">
        <v>17</v>
      </c>
      <c r="K156" s="23" t="s">
        <v>17</v>
      </c>
      <c r="L156" s="24" t="s">
        <v>17</v>
      </c>
      <c r="M156" s="58"/>
      <c r="N156" s="52"/>
      <c r="O156" s="52"/>
      <c r="P156" s="52"/>
      <c r="Q156" s="52"/>
      <c r="R156" s="52"/>
      <c r="S156" s="52"/>
      <c r="T156" s="52"/>
      <c r="U156" s="52"/>
      <c r="V156" s="52"/>
      <c r="W156" s="52"/>
    </row>
    <row r="157" spans="1:23" ht="16.2" outlineLevel="2" thickBot="1" x14ac:dyDescent="0.35">
      <c r="A157" s="66" t="s">
        <v>41</v>
      </c>
      <c r="B157" s="38"/>
      <c r="C157" s="37"/>
      <c r="D157" s="37"/>
      <c r="E157" s="39"/>
      <c r="F157" s="39"/>
      <c r="G157" s="39"/>
      <c r="H157" s="39"/>
      <c r="I157" s="37"/>
      <c r="J157" s="37"/>
      <c r="K157" s="37"/>
      <c r="L157" s="67"/>
      <c r="M157" s="58"/>
      <c r="N157" s="52"/>
      <c r="O157" s="52"/>
      <c r="P157" s="52"/>
      <c r="Q157" s="52"/>
      <c r="R157" s="52"/>
      <c r="S157" s="52"/>
      <c r="T157" s="52"/>
      <c r="U157" s="52"/>
      <c r="V157" s="52"/>
      <c r="W157" s="52"/>
    </row>
    <row r="158" spans="1:23" ht="90.6" outlineLevel="2" thickBot="1" x14ac:dyDescent="0.35">
      <c r="A158" s="27" t="s">
        <v>43</v>
      </c>
      <c r="B158" s="28" t="s">
        <v>44</v>
      </c>
      <c r="C158" s="23"/>
      <c r="D158" s="23">
        <v>6</v>
      </c>
      <c r="E158" s="17">
        <f>E159</f>
        <v>0</v>
      </c>
      <c r="F158" s="17">
        <f>F159</f>
        <v>0</v>
      </c>
      <c r="G158" s="17">
        <f>G159</f>
        <v>0</v>
      </c>
      <c r="H158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58" s="23" t="s">
        <v>17</v>
      </c>
      <c r="J158" s="23" t="s">
        <v>17</v>
      </c>
      <c r="K158" s="23" t="s">
        <v>17</v>
      </c>
      <c r="L158" s="24" t="s">
        <v>17</v>
      </c>
      <c r="M158" s="58"/>
      <c r="N158" s="52"/>
      <c r="O158" s="52"/>
      <c r="P158" s="52"/>
      <c r="Q158" s="52"/>
      <c r="R158" s="52"/>
      <c r="S158" s="52"/>
      <c r="T158" s="52"/>
      <c r="U158" s="52"/>
      <c r="V158" s="52"/>
      <c r="W158" s="52"/>
    </row>
    <row r="159" spans="1:23" ht="16.2" outlineLevel="2" thickBot="1" x14ac:dyDescent="0.35">
      <c r="A159" s="29" t="s">
        <v>43</v>
      </c>
      <c r="B159" s="30"/>
      <c r="C159" s="25"/>
      <c r="D159" s="25"/>
      <c r="E159" s="18"/>
      <c r="F159" s="18"/>
      <c r="G159" s="18"/>
      <c r="H159" s="18"/>
      <c r="I159" s="25"/>
      <c r="J159" s="25"/>
      <c r="K159" s="25"/>
      <c r="L159" s="26"/>
      <c r="M159" s="58"/>
      <c r="N159" s="52"/>
      <c r="O159" s="52"/>
      <c r="P159" s="52"/>
      <c r="Q159" s="52"/>
      <c r="R159" s="52"/>
      <c r="S159" s="52"/>
      <c r="T159" s="52"/>
      <c r="U159" s="52"/>
      <c r="V159" s="52"/>
      <c r="W159" s="52"/>
    </row>
    <row r="160" spans="1:23" ht="90.6" outlineLevel="2" thickBot="1" x14ac:dyDescent="0.35">
      <c r="A160" s="73" t="s">
        <v>60</v>
      </c>
      <c r="B160" s="46" t="s">
        <v>71</v>
      </c>
      <c r="C160" s="23"/>
      <c r="D160" s="23">
        <v>6</v>
      </c>
      <c r="E160" s="17">
        <f>E161</f>
        <v>0</v>
      </c>
      <c r="F160" s="17">
        <f>F161</f>
        <v>0</v>
      </c>
      <c r="G160" s="17">
        <f>G161</f>
        <v>0</v>
      </c>
      <c r="H160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#DIV/0!</v>
      </c>
      <c r="I160" s="23" t="s">
        <v>17</v>
      </c>
      <c r="J160" s="23" t="s">
        <v>17</v>
      </c>
      <c r="K160" s="23" t="s">
        <v>17</v>
      </c>
      <c r="L160" s="24" t="s">
        <v>17</v>
      </c>
      <c r="M160" s="58"/>
      <c r="N160" s="52"/>
      <c r="O160" s="52"/>
      <c r="P160" s="52"/>
      <c r="Q160" s="52"/>
      <c r="R160" s="52"/>
      <c r="S160" s="52"/>
      <c r="T160" s="52"/>
      <c r="U160" s="52"/>
      <c r="V160" s="52"/>
      <c r="W160" s="52"/>
    </row>
    <row r="161" spans="1:23" outlineLevel="2" x14ac:dyDescent="0.3">
      <c r="A161" s="11" t="s">
        <v>60</v>
      </c>
      <c r="B161" s="36"/>
      <c r="C161" s="10"/>
      <c r="D161" s="10"/>
      <c r="E161" s="9"/>
      <c r="F161" s="9"/>
      <c r="G161" s="9"/>
      <c r="H161" s="9"/>
      <c r="I161" s="10"/>
      <c r="J161" s="10"/>
      <c r="K161" s="10"/>
      <c r="L161" s="12"/>
      <c r="M161" s="58"/>
      <c r="N161" s="52"/>
      <c r="O161" s="52"/>
      <c r="P161" s="52"/>
      <c r="Q161" s="52"/>
      <c r="R161" s="52"/>
      <c r="S161" s="52"/>
      <c r="T161" s="52"/>
      <c r="U161" s="52"/>
      <c r="V161" s="52"/>
      <c r="W161" s="52"/>
    </row>
    <row r="162" spans="1:23" ht="117" x14ac:dyDescent="0.3">
      <c r="A162" s="74" t="s">
        <v>45</v>
      </c>
      <c r="B162" s="75" t="s">
        <v>72</v>
      </c>
      <c r="C162" s="76"/>
      <c r="D162" s="76" t="s">
        <v>17</v>
      </c>
      <c r="E162" s="77" t="s">
        <v>17</v>
      </c>
      <c r="F162" s="77" t="s">
        <v>17</v>
      </c>
      <c r="G162" s="77">
        <f>SUBTOTAL(109,G8:G161)</f>
        <v>5044.3956800000005</v>
      </c>
      <c r="H162" s="77" t="s">
        <v>17</v>
      </c>
      <c r="I162" s="76" t="s">
        <v>17</v>
      </c>
      <c r="J162" s="76" t="s">
        <v>17</v>
      </c>
      <c r="K162" s="76" t="s">
        <v>17</v>
      </c>
      <c r="L162" s="78" t="s">
        <v>17</v>
      </c>
      <c r="M162" s="58"/>
      <c r="N162" s="52"/>
      <c r="O162" s="52"/>
      <c r="P162" s="52"/>
      <c r="Q162" s="52"/>
      <c r="R162" s="52"/>
      <c r="S162" s="52"/>
      <c r="T162" s="52"/>
      <c r="U162" s="52"/>
      <c r="V162" s="52"/>
      <c r="W162" s="52"/>
    </row>
    <row r="163" spans="1:23" ht="54" x14ac:dyDescent="0.3">
      <c r="A163" s="73" t="s">
        <v>46</v>
      </c>
      <c r="B163" s="46" t="s">
        <v>47</v>
      </c>
      <c r="C163" s="45"/>
      <c r="D163" s="79" t="s">
        <v>73</v>
      </c>
      <c r="E163" s="22" t="s">
        <v>17</v>
      </c>
      <c r="F163" s="22">
        <f>F164+F165+F166</f>
        <v>550</v>
      </c>
      <c r="G163" s="22">
        <f>G164+G165+G166</f>
        <v>811.07344999999987</v>
      </c>
      <c r="H163" s="22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1.4746789999999999</v>
      </c>
      <c r="I163" s="45" t="s">
        <v>17</v>
      </c>
      <c r="J163" s="45" t="s">
        <v>17</v>
      </c>
      <c r="K163" s="45" t="s">
        <v>17</v>
      </c>
      <c r="L163" s="80" t="s">
        <v>17</v>
      </c>
      <c r="M163" s="58"/>
      <c r="N163" s="52"/>
      <c r="O163" s="52"/>
      <c r="P163" s="52"/>
      <c r="Q163" s="52"/>
      <c r="R163" s="52"/>
      <c r="S163" s="52"/>
      <c r="T163" s="52"/>
      <c r="U163" s="52"/>
      <c r="V163" s="52"/>
      <c r="W163" s="52"/>
    </row>
    <row r="164" spans="1:23" s="273" customFormat="1" ht="46.8" customHeight="1" x14ac:dyDescent="0.3">
      <c r="A164" s="313" t="s">
        <v>46</v>
      </c>
      <c r="B164" s="374" t="s">
        <v>574</v>
      </c>
      <c r="C164" s="375">
        <v>2021</v>
      </c>
      <c r="D164" s="335" t="s">
        <v>73</v>
      </c>
      <c r="E164" s="335" t="s">
        <v>188</v>
      </c>
      <c r="F164" s="335">
        <v>160</v>
      </c>
      <c r="G164" s="376">
        <v>306.31313</v>
      </c>
      <c r="H164" s="335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1.9144570624999999</v>
      </c>
      <c r="I164" s="320" t="s">
        <v>268</v>
      </c>
      <c r="J164" s="379" t="s">
        <v>269</v>
      </c>
      <c r="K164" s="263" t="s">
        <v>165</v>
      </c>
      <c r="L164" s="270" t="s">
        <v>164</v>
      </c>
      <c r="M164" s="271"/>
      <c r="N164" s="272"/>
      <c r="O164" s="272"/>
      <c r="P164" s="272"/>
      <c r="Q164" s="272"/>
      <c r="R164" s="272"/>
      <c r="S164" s="272"/>
      <c r="T164" s="272"/>
      <c r="U164" s="272"/>
      <c r="V164" s="272"/>
      <c r="W164" s="272"/>
    </row>
    <row r="165" spans="1:23" s="273" customFormat="1" ht="52.8" customHeight="1" x14ac:dyDescent="0.3">
      <c r="A165" s="313" t="s">
        <v>46</v>
      </c>
      <c r="B165" s="340" t="s">
        <v>643</v>
      </c>
      <c r="C165" s="377">
        <v>2021</v>
      </c>
      <c r="D165" s="327"/>
      <c r="E165" s="335" t="s">
        <v>188</v>
      </c>
      <c r="F165" s="328">
        <f>400-160</f>
        <v>240</v>
      </c>
      <c r="G165" s="328">
        <v>241.30000999999999</v>
      </c>
      <c r="H165" s="335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1.0054167083333332</v>
      </c>
      <c r="I165" s="378" t="s">
        <v>646</v>
      </c>
      <c r="J165" s="380" t="s">
        <v>645</v>
      </c>
      <c r="K165" s="263" t="s">
        <v>165</v>
      </c>
      <c r="L165" s="270" t="s">
        <v>164</v>
      </c>
      <c r="M165" s="271"/>
      <c r="N165" s="272"/>
      <c r="O165" s="272"/>
      <c r="P165" s="272"/>
      <c r="Q165" s="272"/>
      <c r="R165" s="272"/>
      <c r="S165" s="272"/>
      <c r="T165" s="272"/>
      <c r="U165" s="272"/>
      <c r="V165" s="272"/>
      <c r="W165" s="272"/>
    </row>
    <row r="166" spans="1:23" s="273" customFormat="1" ht="42.6" customHeight="1" x14ac:dyDescent="0.3">
      <c r="A166" s="313" t="s">
        <v>46</v>
      </c>
      <c r="B166" s="340" t="s">
        <v>644</v>
      </c>
      <c r="C166" s="377">
        <v>2021</v>
      </c>
      <c r="D166" s="327"/>
      <c r="E166" s="335" t="s">
        <v>188</v>
      </c>
      <c r="F166" s="328">
        <f>400-250</f>
        <v>150</v>
      </c>
      <c r="G166" s="328">
        <v>263.46030999999999</v>
      </c>
      <c r="H166" s="335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1.7564020666666667</v>
      </c>
      <c r="I166" s="378" t="s">
        <v>648</v>
      </c>
      <c r="J166" s="380" t="s">
        <v>647</v>
      </c>
      <c r="K166" s="263" t="s">
        <v>165</v>
      </c>
      <c r="L166" s="270" t="s">
        <v>164</v>
      </c>
      <c r="M166" s="271"/>
      <c r="N166" s="272"/>
      <c r="O166" s="272"/>
      <c r="P166" s="272"/>
      <c r="Q166" s="272"/>
      <c r="R166" s="272"/>
      <c r="S166" s="272"/>
      <c r="T166" s="272"/>
      <c r="U166" s="272"/>
      <c r="V166" s="272"/>
      <c r="W166" s="272"/>
    </row>
    <row r="167" spans="1:23" ht="54" x14ac:dyDescent="0.3">
      <c r="A167" s="73" t="s">
        <v>74</v>
      </c>
      <c r="B167" s="46" t="s">
        <v>75</v>
      </c>
      <c r="C167" s="45"/>
      <c r="D167" s="79" t="s">
        <v>73</v>
      </c>
      <c r="E167" s="22" t="s">
        <v>17</v>
      </c>
      <c r="F167" s="22">
        <f>SUM(F168:F170)</f>
        <v>0</v>
      </c>
      <c r="G167" s="22">
        <f>SUM(G168:G170)</f>
        <v>0</v>
      </c>
      <c r="H167" s="22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#DIV/0!</v>
      </c>
      <c r="I167" s="45" t="s">
        <v>17</v>
      </c>
      <c r="J167" s="45" t="s">
        <v>17</v>
      </c>
      <c r="K167" s="45" t="s">
        <v>17</v>
      </c>
      <c r="L167" s="80" t="s">
        <v>17</v>
      </c>
      <c r="M167" s="58"/>
      <c r="N167" s="52"/>
      <c r="O167" s="52"/>
      <c r="P167" s="52"/>
      <c r="Q167" s="52"/>
      <c r="R167" s="52"/>
      <c r="S167" s="52"/>
      <c r="T167" s="52"/>
      <c r="U167" s="52"/>
      <c r="V167" s="52"/>
      <c r="W167" s="52"/>
    </row>
    <row r="168" spans="1:23" hidden="1" outlineLevel="2" x14ac:dyDescent="0.3">
      <c r="A168" s="11" t="s">
        <v>74</v>
      </c>
      <c r="B168" s="36"/>
      <c r="C168" s="10"/>
      <c r="D168" s="19"/>
      <c r="E168" s="9"/>
      <c r="F168" s="9"/>
      <c r="G168" s="9"/>
      <c r="H168" s="9"/>
      <c r="I168" s="10"/>
      <c r="J168" s="10"/>
      <c r="K168" s="10"/>
      <c r="L168" s="12"/>
      <c r="M168" s="58"/>
      <c r="N168" s="52"/>
      <c r="O168" s="52"/>
      <c r="P168" s="52"/>
      <c r="Q168" s="52"/>
      <c r="R168" s="52"/>
      <c r="S168" s="52"/>
      <c r="T168" s="52"/>
      <c r="U168" s="52"/>
      <c r="V168" s="52"/>
      <c r="W168" s="52"/>
    </row>
    <row r="169" spans="1:23" hidden="1" outlineLevel="2" x14ac:dyDescent="0.3">
      <c r="A169" s="11" t="s">
        <v>74</v>
      </c>
      <c r="B169" s="36"/>
      <c r="C169" s="10"/>
      <c r="D169" s="19"/>
      <c r="E169" s="9"/>
      <c r="F169" s="9"/>
      <c r="G169" s="9"/>
      <c r="H169" s="9"/>
      <c r="I169" s="10"/>
      <c r="J169" s="10"/>
      <c r="K169" s="10"/>
      <c r="L169" s="12"/>
      <c r="M169" s="58"/>
      <c r="N169" s="52"/>
      <c r="O169" s="52"/>
      <c r="P169" s="52"/>
      <c r="Q169" s="52"/>
      <c r="R169" s="52"/>
      <c r="S169" s="52"/>
      <c r="T169" s="52"/>
      <c r="U169" s="52"/>
      <c r="V169" s="52"/>
      <c r="W169" s="52"/>
    </row>
    <row r="170" spans="1:23" hidden="1" outlineLevel="2" x14ac:dyDescent="0.3">
      <c r="A170" s="11" t="s">
        <v>74</v>
      </c>
      <c r="B170" s="36"/>
      <c r="C170" s="10"/>
      <c r="D170" s="19"/>
      <c r="E170" s="9"/>
      <c r="F170" s="9"/>
      <c r="G170" s="9"/>
      <c r="H170" s="9"/>
      <c r="I170" s="10"/>
      <c r="J170" s="10"/>
      <c r="K170" s="10"/>
      <c r="L170" s="12"/>
      <c r="M170" s="58"/>
      <c r="N170" s="52"/>
      <c r="O170" s="52"/>
      <c r="P170" s="52"/>
      <c r="Q170" s="52"/>
      <c r="R170" s="52"/>
      <c r="S170" s="52"/>
      <c r="T170" s="52"/>
      <c r="U170" s="52"/>
      <c r="V170" s="52"/>
      <c r="W170" s="52"/>
    </row>
    <row r="171" spans="1:23" ht="54" collapsed="1" x14ac:dyDescent="0.3">
      <c r="A171" s="73" t="s">
        <v>76</v>
      </c>
      <c r="B171" s="46" t="s">
        <v>77</v>
      </c>
      <c r="C171" s="45"/>
      <c r="D171" s="79" t="s">
        <v>73</v>
      </c>
      <c r="E171" s="22" t="s">
        <v>17</v>
      </c>
      <c r="F171" s="22">
        <f>F172</f>
        <v>0</v>
      </c>
      <c r="G171" s="22">
        <f>G172</f>
        <v>0</v>
      </c>
      <c r="H171" s="22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#DIV/0!</v>
      </c>
      <c r="I171" s="45" t="s">
        <v>17</v>
      </c>
      <c r="J171" s="45" t="s">
        <v>17</v>
      </c>
      <c r="K171" s="45" t="s">
        <v>17</v>
      </c>
      <c r="L171" s="80" t="s">
        <v>17</v>
      </c>
      <c r="M171" s="58"/>
      <c r="N171" s="52"/>
      <c r="O171" s="52"/>
      <c r="P171" s="52"/>
      <c r="Q171" s="52"/>
      <c r="R171" s="52"/>
      <c r="S171" s="52"/>
      <c r="T171" s="52"/>
      <c r="U171" s="52"/>
      <c r="V171" s="52"/>
      <c r="W171" s="52"/>
    </row>
    <row r="172" spans="1:23" hidden="1" outlineLevel="2" x14ac:dyDescent="0.3">
      <c r="A172" s="11" t="s">
        <v>76</v>
      </c>
      <c r="B172" s="36"/>
      <c r="C172" s="10"/>
      <c r="D172" s="19"/>
      <c r="E172" s="9"/>
      <c r="F172" s="9"/>
      <c r="G172" s="9"/>
      <c r="H172" s="9"/>
      <c r="I172" s="10"/>
      <c r="J172" s="10"/>
      <c r="K172" s="10"/>
      <c r="L172" s="12"/>
      <c r="M172" s="58"/>
      <c r="N172" s="52"/>
      <c r="O172" s="52"/>
      <c r="P172" s="52"/>
      <c r="Q172" s="52"/>
      <c r="R172" s="52"/>
      <c r="S172" s="52"/>
      <c r="T172" s="52"/>
      <c r="U172" s="52"/>
      <c r="V172" s="52"/>
      <c r="W172" s="52"/>
    </row>
    <row r="173" spans="1:23" ht="54.6" collapsed="1" thickBot="1" x14ac:dyDescent="0.35">
      <c r="A173" s="73" t="s">
        <v>78</v>
      </c>
      <c r="B173" s="46" t="s">
        <v>79</v>
      </c>
      <c r="C173" s="45" t="s">
        <v>58</v>
      </c>
      <c r="D173" s="79" t="s">
        <v>73</v>
      </c>
      <c r="E173" s="22" t="s">
        <v>17</v>
      </c>
      <c r="F173" s="22">
        <f>F174</f>
        <v>0</v>
      </c>
      <c r="G173" s="22">
        <f>G174</f>
        <v>0</v>
      </c>
      <c r="H173" s="22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#DIV/0!</v>
      </c>
      <c r="I173" s="45" t="s">
        <v>17</v>
      </c>
      <c r="J173" s="45" t="s">
        <v>17</v>
      </c>
      <c r="K173" s="45" t="s">
        <v>17</v>
      </c>
      <c r="L173" s="80" t="s">
        <v>17</v>
      </c>
      <c r="M173" s="58"/>
      <c r="N173" s="52"/>
      <c r="O173" s="52"/>
      <c r="P173" s="52"/>
      <c r="Q173" s="52"/>
      <c r="R173" s="52"/>
      <c r="S173" s="52"/>
      <c r="T173" s="52"/>
      <c r="U173" s="52"/>
      <c r="V173" s="52"/>
      <c r="W173" s="52"/>
    </row>
    <row r="174" spans="1:23" ht="16.2" hidden="1" outlineLevel="2" thickBot="1" x14ac:dyDescent="0.35">
      <c r="A174" s="13" t="s">
        <v>78</v>
      </c>
      <c r="B174" s="40"/>
      <c r="C174" s="15"/>
      <c r="D174" s="21"/>
      <c r="E174" s="14"/>
      <c r="F174" s="14"/>
      <c r="G174" s="14"/>
      <c r="H174" s="14"/>
      <c r="I174" s="15"/>
      <c r="J174" s="15"/>
      <c r="K174" s="15"/>
      <c r="L174" s="16"/>
      <c r="M174" s="58"/>
      <c r="N174" s="52"/>
      <c r="O174" s="52"/>
      <c r="P174" s="52"/>
      <c r="Q174" s="52"/>
      <c r="R174" s="52"/>
      <c r="S174" s="52"/>
      <c r="T174" s="52"/>
      <c r="U174" s="52"/>
      <c r="V174" s="52"/>
      <c r="W174" s="52"/>
    </row>
    <row r="175" spans="1:23" s="65" customFormat="1" ht="70.8" collapsed="1" thickBot="1" x14ac:dyDescent="0.5">
      <c r="A175" s="68" t="s">
        <v>48</v>
      </c>
      <c r="B175" s="69" t="s">
        <v>49</v>
      </c>
      <c r="C175" s="71" t="s">
        <v>17</v>
      </c>
      <c r="D175" s="71" t="s">
        <v>17</v>
      </c>
      <c r="E175" s="71" t="s">
        <v>17</v>
      </c>
      <c r="F175" s="71" t="s">
        <v>17</v>
      </c>
      <c r="G175" s="71" t="s">
        <v>17</v>
      </c>
      <c r="H175" s="71" t="s">
        <v>17</v>
      </c>
      <c r="I175" s="71" t="s">
        <v>17</v>
      </c>
      <c r="J175" s="71" t="s">
        <v>17</v>
      </c>
      <c r="K175" s="71" t="s">
        <v>17</v>
      </c>
      <c r="L175" s="71" t="s">
        <v>17</v>
      </c>
      <c r="M175" s="58"/>
    </row>
    <row r="176" spans="1:23" ht="54.6" thickBot="1" x14ac:dyDescent="0.35">
      <c r="A176" s="27" t="s">
        <v>80</v>
      </c>
      <c r="B176" s="28" t="s">
        <v>81</v>
      </c>
      <c r="C176" s="23"/>
      <c r="D176" s="23">
        <f>D177</f>
        <v>0</v>
      </c>
      <c r="E176" s="17" t="s">
        <v>17</v>
      </c>
      <c r="F176" s="17">
        <f>F177</f>
        <v>0</v>
      </c>
      <c r="G176" s="17">
        <f>G177</f>
        <v>0</v>
      </c>
      <c r="H176" s="17" t="e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Row],[Максимальная мощность, кВт]]</f>
        <v>#DIV/0!</v>
      </c>
      <c r="I176" s="23" t="s">
        <v>17</v>
      </c>
      <c r="J176" s="23" t="s">
        <v>17</v>
      </c>
      <c r="K176" s="23" t="s">
        <v>17</v>
      </c>
      <c r="L176" s="24" t="s">
        <v>17</v>
      </c>
      <c r="M176" s="58"/>
      <c r="N176" s="52"/>
      <c r="O176" s="52"/>
      <c r="P176" s="52"/>
      <c r="Q176" s="52"/>
      <c r="R176" s="52"/>
      <c r="S176" s="52"/>
      <c r="T176" s="52"/>
      <c r="U176" s="52"/>
      <c r="V176" s="52"/>
      <c r="W176" s="52"/>
    </row>
    <row r="177" spans="1:23" ht="16.2" thickBot="1" x14ac:dyDescent="0.35">
      <c r="A177" s="66" t="s">
        <v>80</v>
      </c>
      <c r="B177" s="38"/>
      <c r="C177" s="37"/>
      <c r="D177" s="37"/>
      <c r="E177" s="39"/>
      <c r="F177" s="39"/>
      <c r="G177" s="39"/>
      <c r="H177" s="39"/>
      <c r="I177" s="37"/>
      <c r="J177" s="37"/>
      <c r="K177" s="37"/>
      <c r="L177" s="67"/>
      <c r="M177" s="58"/>
      <c r="N177" s="52"/>
      <c r="O177" s="52"/>
      <c r="P177" s="52"/>
      <c r="Q177" s="52"/>
      <c r="R177" s="52"/>
      <c r="S177" s="52"/>
      <c r="T177" s="52"/>
      <c r="U177" s="52"/>
      <c r="V177" s="52"/>
      <c r="W177" s="52"/>
    </row>
    <row r="178" spans="1:23" s="82" customFormat="1" ht="70.8" collapsed="1" thickBot="1" x14ac:dyDescent="0.5">
      <c r="A178" s="68" t="s">
        <v>50</v>
      </c>
      <c r="B178" s="69" t="s">
        <v>51</v>
      </c>
      <c r="C178" s="71" t="s">
        <v>17</v>
      </c>
      <c r="D178" s="71" t="s">
        <v>17</v>
      </c>
      <c r="E178" s="71" t="s">
        <v>17</v>
      </c>
      <c r="F178" s="71" t="s">
        <v>17</v>
      </c>
      <c r="G178" s="71" t="s">
        <v>17</v>
      </c>
      <c r="H178" s="71" t="s">
        <v>17</v>
      </c>
      <c r="I178" s="71" t="s">
        <v>17</v>
      </c>
      <c r="J178" s="71" t="s">
        <v>17</v>
      </c>
      <c r="K178" s="71" t="s">
        <v>17</v>
      </c>
      <c r="L178" s="71" t="s">
        <v>17</v>
      </c>
      <c r="M178" s="58"/>
      <c r="N178" s="65"/>
      <c r="O178" s="65"/>
      <c r="P178" s="65"/>
      <c r="Q178" s="65"/>
      <c r="R178" s="65"/>
      <c r="S178" s="65"/>
      <c r="T178" s="65"/>
      <c r="U178" s="65"/>
      <c r="V178" s="81"/>
      <c r="W178" s="81"/>
    </row>
    <row r="179" spans="1:23" s="84" customFormat="1" ht="54.6" thickBot="1" x14ac:dyDescent="0.35">
      <c r="A179" s="27" t="s">
        <v>54</v>
      </c>
      <c r="B179" s="28" t="s">
        <v>82</v>
      </c>
      <c r="C179" s="23">
        <v>2021</v>
      </c>
      <c r="D179" s="23">
        <v>0.4</v>
      </c>
      <c r="E179" s="17">
        <f>E180+E189</f>
        <v>80</v>
      </c>
      <c r="F179" s="17" t="s">
        <v>17</v>
      </c>
      <c r="G179" s="17">
        <f>G180+G189</f>
        <v>2494.3228199999985</v>
      </c>
      <c r="H179" s="17">
        <f>Г20204[[#This Row],[Расходы на строительство объекта/на обеспечение средствами коммерческого учета электрической энергии (мощности), тыс. руб.
]]/Г20204[[#This Row],[Протяженность (для линий электропередачи), метров/Количество пунктов секционирования, штук/Количество точек учета, штук
]]</f>
        <v>31.179035249999981</v>
      </c>
      <c r="I179" s="23" t="s">
        <v>17</v>
      </c>
      <c r="J179" s="23" t="s">
        <v>17</v>
      </c>
      <c r="K179" s="23" t="s">
        <v>17</v>
      </c>
      <c r="L179" s="24" t="s">
        <v>17</v>
      </c>
      <c r="M179" s="58"/>
      <c r="N179" s="48"/>
      <c r="O179" s="48"/>
      <c r="P179" s="48"/>
      <c r="Q179" s="48"/>
      <c r="R179" s="48"/>
      <c r="S179" s="48"/>
      <c r="T179" s="48"/>
      <c r="U179" s="48"/>
      <c r="V179" s="83"/>
      <c r="W179" s="83"/>
    </row>
    <row r="180" spans="1:23" s="84" customFormat="1" x14ac:dyDescent="0.3">
      <c r="A180" s="191" t="s">
        <v>189</v>
      </c>
      <c r="B180" s="192" t="s">
        <v>190</v>
      </c>
      <c r="C180" s="25">
        <v>2021</v>
      </c>
      <c r="D180" s="193"/>
      <c r="E180" s="278">
        <f>E181</f>
        <v>7</v>
      </c>
      <c r="F180" s="199"/>
      <c r="G180" s="199">
        <f>G181</f>
        <v>143.32986000000002</v>
      </c>
      <c r="H180" s="193"/>
      <c r="I180" s="193"/>
      <c r="J180" s="193"/>
      <c r="K180" s="193"/>
      <c r="L180" s="194"/>
      <c r="M180" s="58"/>
      <c r="N180" s="48"/>
      <c r="O180" s="48"/>
      <c r="P180" s="48"/>
      <c r="Q180" s="48"/>
      <c r="R180" s="48"/>
      <c r="S180" s="48"/>
      <c r="T180" s="48"/>
      <c r="U180" s="48"/>
      <c r="V180" s="83"/>
      <c r="W180" s="83"/>
    </row>
    <row r="181" spans="1:23" s="84" customFormat="1" x14ac:dyDescent="0.3">
      <c r="A181" s="191" t="s">
        <v>52</v>
      </c>
      <c r="B181" s="192" t="s">
        <v>270</v>
      </c>
      <c r="C181" s="10">
        <v>2021</v>
      </c>
      <c r="D181" s="193"/>
      <c r="E181" s="278">
        <f>SUM(E182:E188)</f>
        <v>7</v>
      </c>
      <c r="F181" s="199"/>
      <c r="G181" s="199">
        <f>SUM(G182:G188)</f>
        <v>143.32986000000002</v>
      </c>
      <c r="H181" s="193"/>
      <c r="I181" s="193"/>
      <c r="J181" s="193"/>
      <c r="K181" s="193"/>
      <c r="L181" s="194"/>
      <c r="M181" s="58"/>
      <c r="N181" s="48"/>
      <c r="O181" s="48"/>
      <c r="P181" s="48"/>
      <c r="Q181" s="48"/>
      <c r="R181" s="48"/>
      <c r="S181" s="48"/>
      <c r="T181" s="48"/>
      <c r="U181" s="48"/>
      <c r="V181" s="83"/>
      <c r="W181" s="83"/>
    </row>
    <row r="182" spans="1:23" s="84" customFormat="1" ht="27.6" hidden="1" outlineLevel="1" x14ac:dyDescent="0.3">
      <c r="A182" s="206" t="s">
        <v>194</v>
      </c>
      <c r="B182" s="207" t="s">
        <v>271</v>
      </c>
      <c r="C182" s="10">
        <v>2021</v>
      </c>
      <c r="D182" s="208">
        <v>0.23</v>
      </c>
      <c r="E182" s="208">
        <v>1</v>
      </c>
      <c r="F182" s="208">
        <v>15</v>
      </c>
      <c r="G182" s="209">
        <f>18.82833+0.08209</f>
        <v>18.910420000000002</v>
      </c>
      <c r="H182" s="209">
        <v>18.828330000000001</v>
      </c>
      <c r="I182" s="208" t="s">
        <v>272</v>
      </c>
      <c r="J182" s="208" t="s">
        <v>273</v>
      </c>
      <c r="K182" s="178" t="s">
        <v>163</v>
      </c>
      <c r="L182" s="210" t="s">
        <v>164</v>
      </c>
      <c r="M182" s="58"/>
      <c r="N182" s="48"/>
      <c r="O182" s="48"/>
      <c r="P182" s="48"/>
      <c r="Q182" s="48"/>
      <c r="R182" s="48"/>
      <c r="S182" s="48"/>
      <c r="T182" s="48"/>
      <c r="U182" s="48"/>
      <c r="V182" s="83"/>
      <c r="W182" s="83"/>
    </row>
    <row r="183" spans="1:23" s="84" customFormat="1" ht="27.6" hidden="1" outlineLevel="1" x14ac:dyDescent="0.3">
      <c r="A183" s="206" t="s">
        <v>198</v>
      </c>
      <c r="B183" s="207" t="s">
        <v>274</v>
      </c>
      <c r="C183" s="10">
        <v>2021</v>
      </c>
      <c r="D183" s="208">
        <v>0.23</v>
      </c>
      <c r="E183" s="208">
        <v>1</v>
      </c>
      <c r="F183" s="208">
        <v>5</v>
      </c>
      <c r="G183" s="209">
        <f>22.7235+0.08209</f>
        <v>22.805590000000002</v>
      </c>
      <c r="H183" s="209">
        <v>22.723500000000001</v>
      </c>
      <c r="I183" s="208" t="s">
        <v>275</v>
      </c>
      <c r="J183" s="208" t="s">
        <v>276</v>
      </c>
      <c r="K183" s="178" t="s">
        <v>163</v>
      </c>
      <c r="L183" s="210" t="s">
        <v>164</v>
      </c>
      <c r="M183" s="58"/>
      <c r="N183" s="48"/>
      <c r="O183" s="48"/>
      <c r="P183" s="48"/>
      <c r="Q183" s="48"/>
      <c r="R183" s="48"/>
      <c r="S183" s="48"/>
      <c r="T183" s="48"/>
      <c r="U183" s="48"/>
      <c r="V183" s="83"/>
      <c r="W183" s="83"/>
    </row>
    <row r="184" spans="1:23" s="84" customFormat="1" ht="41.4" hidden="1" outlineLevel="1" x14ac:dyDescent="0.3">
      <c r="A184" s="206" t="s">
        <v>202</v>
      </c>
      <c r="B184" s="207" t="s">
        <v>277</v>
      </c>
      <c r="C184" s="10">
        <v>2021</v>
      </c>
      <c r="D184" s="208">
        <v>0.23</v>
      </c>
      <c r="E184" s="208">
        <v>1</v>
      </c>
      <c r="F184" s="208">
        <v>6</v>
      </c>
      <c r="G184" s="209">
        <f>17.42559+0.08209</f>
        <v>17.507680000000001</v>
      </c>
      <c r="H184" s="209">
        <v>17.42559</v>
      </c>
      <c r="I184" s="208" t="s">
        <v>278</v>
      </c>
      <c r="J184" s="208" t="s">
        <v>279</v>
      </c>
      <c r="K184" s="178" t="s">
        <v>163</v>
      </c>
      <c r="L184" s="210" t="s">
        <v>164</v>
      </c>
      <c r="M184" s="58"/>
      <c r="N184" s="48"/>
      <c r="O184" s="48"/>
      <c r="P184" s="48"/>
      <c r="Q184" s="48"/>
      <c r="R184" s="48"/>
      <c r="S184" s="48"/>
      <c r="T184" s="48"/>
      <c r="U184" s="48"/>
      <c r="V184" s="83"/>
      <c r="W184" s="83"/>
    </row>
    <row r="185" spans="1:23" s="84" customFormat="1" ht="48" hidden="1" outlineLevel="1" x14ac:dyDescent="0.3">
      <c r="A185" s="206" t="s">
        <v>280</v>
      </c>
      <c r="B185" s="211" t="s">
        <v>281</v>
      </c>
      <c r="C185" s="10">
        <v>2021</v>
      </c>
      <c r="D185" s="212">
        <v>0.23</v>
      </c>
      <c r="E185" s="208">
        <v>1</v>
      </c>
      <c r="F185" s="212">
        <v>10</v>
      </c>
      <c r="G185" s="213">
        <f>20.22623+0.08209</f>
        <v>20.308320000000002</v>
      </c>
      <c r="H185" s="213">
        <v>20.226230000000001</v>
      </c>
      <c r="I185" s="212" t="s">
        <v>282</v>
      </c>
      <c r="J185" s="212" t="s">
        <v>283</v>
      </c>
      <c r="K185" s="214" t="s">
        <v>163</v>
      </c>
      <c r="L185" s="210" t="s">
        <v>164</v>
      </c>
      <c r="M185" s="58"/>
      <c r="N185" s="48"/>
      <c r="O185" s="48"/>
      <c r="P185" s="48"/>
      <c r="Q185" s="48"/>
      <c r="R185" s="48"/>
      <c r="S185" s="48"/>
      <c r="T185" s="48"/>
      <c r="U185" s="48"/>
      <c r="V185" s="83"/>
      <c r="W185" s="83"/>
    </row>
    <row r="186" spans="1:23" ht="55.2" hidden="1" outlineLevel="1" x14ac:dyDescent="0.3">
      <c r="A186" s="206" t="s">
        <v>284</v>
      </c>
      <c r="B186" s="211" t="s">
        <v>285</v>
      </c>
      <c r="C186" s="10">
        <v>2021</v>
      </c>
      <c r="D186" s="212">
        <v>0.23</v>
      </c>
      <c r="E186" s="208">
        <v>1</v>
      </c>
      <c r="F186" s="208">
        <v>8</v>
      </c>
      <c r="G186" s="209">
        <f>18.80873+0.08209</f>
        <v>18.890820000000001</v>
      </c>
      <c r="H186" s="209">
        <v>18.808730000000001</v>
      </c>
      <c r="I186" s="212" t="s">
        <v>286</v>
      </c>
      <c r="J186" s="208" t="s">
        <v>287</v>
      </c>
      <c r="K186" s="214" t="s">
        <v>163</v>
      </c>
      <c r="L186" s="210" t="s">
        <v>164</v>
      </c>
      <c r="M186" s="276"/>
    </row>
    <row r="187" spans="1:23" ht="55.2" hidden="1" outlineLevel="1" x14ac:dyDescent="0.3">
      <c r="A187" s="206" t="s">
        <v>288</v>
      </c>
      <c r="B187" s="211" t="s">
        <v>289</v>
      </c>
      <c r="C187" s="10">
        <v>2021</v>
      </c>
      <c r="D187" s="208">
        <v>0.23</v>
      </c>
      <c r="E187" s="208">
        <v>1</v>
      </c>
      <c r="F187" s="208">
        <v>10</v>
      </c>
      <c r="G187" s="209">
        <f>21.52938+0.08209</f>
        <v>21.611470000000001</v>
      </c>
      <c r="H187" s="209">
        <v>21.52938</v>
      </c>
      <c r="I187" s="212" t="s">
        <v>290</v>
      </c>
      <c r="J187" s="208" t="s">
        <v>291</v>
      </c>
      <c r="K187" s="178" t="s">
        <v>163</v>
      </c>
      <c r="L187" s="210" t="s">
        <v>164</v>
      </c>
      <c r="M187" s="276"/>
    </row>
    <row r="188" spans="1:23" ht="55.2" hidden="1" outlineLevel="1" x14ac:dyDescent="0.3">
      <c r="A188" s="206" t="s">
        <v>292</v>
      </c>
      <c r="B188" s="211" t="s">
        <v>293</v>
      </c>
      <c r="C188" s="10">
        <v>2021</v>
      </c>
      <c r="D188" s="208">
        <v>0.23</v>
      </c>
      <c r="E188" s="208">
        <v>1</v>
      </c>
      <c r="F188" s="208">
        <v>15</v>
      </c>
      <c r="G188" s="209">
        <f>23.21347+0.08209</f>
        <v>23.295560000000002</v>
      </c>
      <c r="H188" s="209">
        <v>23.213470000000001</v>
      </c>
      <c r="I188" s="212" t="s">
        <v>294</v>
      </c>
      <c r="J188" s="208" t="s">
        <v>295</v>
      </c>
      <c r="K188" s="178" t="s">
        <v>163</v>
      </c>
      <c r="L188" s="210" t="s">
        <v>164</v>
      </c>
      <c r="M188" s="276"/>
    </row>
    <row r="189" spans="1:23" s="171" customFormat="1" collapsed="1" x14ac:dyDescent="0.3">
      <c r="A189" s="191" t="s">
        <v>206</v>
      </c>
      <c r="B189" s="220" t="s">
        <v>207</v>
      </c>
      <c r="C189" s="10">
        <v>2021</v>
      </c>
      <c r="D189" s="193"/>
      <c r="E189" s="277">
        <f>E190+E259</f>
        <v>73</v>
      </c>
      <c r="F189" s="277"/>
      <c r="G189" s="277">
        <f>G190+G259</f>
        <v>2350.9929599999987</v>
      </c>
      <c r="H189" s="193"/>
      <c r="I189" s="193"/>
      <c r="J189" s="193"/>
      <c r="K189" s="193"/>
      <c r="L189" s="194"/>
      <c r="M189" s="276"/>
    </row>
    <row r="190" spans="1:23" x14ac:dyDescent="0.3">
      <c r="A190" s="221" t="s">
        <v>53</v>
      </c>
      <c r="B190" s="222" t="s">
        <v>208</v>
      </c>
      <c r="C190" s="10">
        <v>2021</v>
      </c>
      <c r="D190" s="223"/>
      <c r="E190" s="224">
        <f>SUM(E191:E258)</f>
        <v>68</v>
      </c>
      <c r="F190" s="224"/>
      <c r="G190" s="224">
        <f>SUM(G191:G258)</f>
        <v>2128.9268699999989</v>
      </c>
      <c r="H190" s="223"/>
      <c r="I190" s="223"/>
      <c r="J190" s="223"/>
      <c r="K190" s="223"/>
      <c r="L190" s="225"/>
      <c r="M190" s="276"/>
    </row>
    <row r="191" spans="1:23" ht="31.2" hidden="1" outlineLevel="1" x14ac:dyDescent="0.3">
      <c r="A191" s="226" t="s">
        <v>209</v>
      </c>
      <c r="B191" s="227" t="s">
        <v>296</v>
      </c>
      <c r="C191" s="10">
        <v>2021</v>
      </c>
      <c r="D191" s="228">
        <v>0.4</v>
      </c>
      <c r="E191" s="237">
        <v>1</v>
      </c>
      <c r="F191" s="228">
        <v>15</v>
      </c>
      <c r="G191" s="229">
        <f>32.54455+0.08209</f>
        <v>32.626640000000002</v>
      </c>
      <c r="H191" s="229">
        <v>32.544550000000001</v>
      </c>
      <c r="I191" s="228" t="s">
        <v>297</v>
      </c>
      <c r="J191" s="228" t="s">
        <v>298</v>
      </c>
      <c r="K191" s="230" t="s">
        <v>163</v>
      </c>
      <c r="L191" s="231" t="s">
        <v>164</v>
      </c>
      <c r="M191" s="276"/>
    </row>
    <row r="192" spans="1:23" ht="31.2" hidden="1" outlineLevel="1" x14ac:dyDescent="0.3">
      <c r="A192" s="226" t="s">
        <v>213</v>
      </c>
      <c r="B192" s="227" t="s">
        <v>299</v>
      </c>
      <c r="C192" s="10">
        <v>2021</v>
      </c>
      <c r="D192" s="228">
        <v>0.4</v>
      </c>
      <c r="E192" s="237">
        <v>1</v>
      </c>
      <c r="F192" s="228">
        <v>8</v>
      </c>
      <c r="G192" s="229">
        <f>27.73928+0.08209</f>
        <v>27.821370000000002</v>
      </c>
      <c r="H192" s="229">
        <v>27.739280000000001</v>
      </c>
      <c r="I192" s="228" t="s">
        <v>300</v>
      </c>
      <c r="J192" s="228" t="s">
        <v>267</v>
      </c>
      <c r="K192" s="230" t="s">
        <v>165</v>
      </c>
      <c r="L192" s="231" t="s">
        <v>164</v>
      </c>
      <c r="M192" s="276"/>
    </row>
    <row r="193" spans="1:13" ht="31.2" hidden="1" outlineLevel="1" x14ac:dyDescent="0.3">
      <c r="A193" s="226" t="s">
        <v>217</v>
      </c>
      <c r="B193" s="227" t="s">
        <v>301</v>
      </c>
      <c r="C193" s="10">
        <v>2021</v>
      </c>
      <c r="D193" s="228">
        <v>0.4</v>
      </c>
      <c r="E193" s="237">
        <v>1</v>
      </c>
      <c r="F193" s="228">
        <v>10</v>
      </c>
      <c r="G193" s="229">
        <f>32.54453+0.08209</f>
        <v>32.626620000000003</v>
      </c>
      <c r="H193" s="229">
        <v>32.544530000000002</v>
      </c>
      <c r="I193" s="228" t="s">
        <v>302</v>
      </c>
      <c r="J193" s="228" t="s">
        <v>303</v>
      </c>
      <c r="K193" s="230" t="s">
        <v>163</v>
      </c>
      <c r="L193" s="231" t="s">
        <v>164</v>
      </c>
      <c r="M193" s="276"/>
    </row>
    <row r="194" spans="1:13" ht="31.2" hidden="1" outlineLevel="1" x14ac:dyDescent="0.3">
      <c r="A194" s="226" t="s">
        <v>221</v>
      </c>
      <c r="B194" s="227" t="s">
        <v>304</v>
      </c>
      <c r="C194" s="10">
        <v>2021</v>
      </c>
      <c r="D194" s="228">
        <v>0.4</v>
      </c>
      <c r="E194" s="237">
        <v>1</v>
      </c>
      <c r="F194" s="228">
        <v>15</v>
      </c>
      <c r="G194" s="229">
        <f>31.69954+0.08209</f>
        <v>31.78163</v>
      </c>
      <c r="H194" s="229">
        <v>31.699539999999999</v>
      </c>
      <c r="I194" s="228" t="s">
        <v>305</v>
      </c>
      <c r="J194" s="228" t="s">
        <v>306</v>
      </c>
      <c r="K194" s="230" t="s">
        <v>163</v>
      </c>
      <c r="L194" s="231" t="s">
        <v>164</v>
      </c>
      <c r="M194" s="276"/>
    </row>
    <row r="195" spans="1:13" ht="31.2" hidden="1" outlineLevel="1" x14ac:dyDescent="0.3">
      <c r="A195" s="226" t="s">
        <v>225</v>
      </c>
      <c r="B195" s="227" t="s">
        <v>307</v>
      </c>
      <c r="C195" s="10">
        <v>2021</v>
      </c>
      <c r="D195" s="228">
        <v>0.4</v>
      </c>
      <c r="E195" s="237">
        <v>1</v>
      </c>
      <c r="F195" s="228">
        <v>15</v>
      </c>
      <c r="G195" s="229">
        <f>31.58694+0.08209</f>
        <v>31.669029999999999</v>
      </c>
      <c r="H195" s="229">
        <v>31.586939999999998</v>
      </c>
      <c r="I195" s="228" t="s">
        <v>308</v>
      </c>
      <c r="J195" s="228" t="s">
        <v>309</v>
      </c>
      <c r="K195" s="230" t="s">
        <v>165</v>
      </c>
      <c r="L195" s="231" t="s">
        <v>164</v>
      </c>
      <c r="M195" s="276"/>
    </row>
    <row r="196" spans="1:13" ht="31.2" hidden="1" outlineLevel="1" x14ac:dyDescent="0.3">
      <c r="A196" s="226" t="s">
        <v>229</v>
      </c>
      <c r="B196" s="227" t="s">
        <v>310</v>
      </c>
      <c r="C196" s="10">
        <v>2021</v>
      </c>
      <c r="D196" s="228">
        <v>0.4</v>
      </c>
      <c r="E196" s="237">
        <v>1</v>
      </c>
      <c r="F196" s="228">
        <v>15</v>
      </c>
      <c r="G196" s="229">
        <f>32.67212+0.08209</f>
        <v>32.75421</v>
      </c>
      <c r="H196" s="229">
        <v>32.67212</v>
      </c>
      <c r="I196" s="228" t="s">
        <v>311</v>
      </c>
      <c r="J196" s="228" t="s">
        <v>312</v>
      </c>
      <c r="K196" s="230" t="s">
        <v>163</v>
      </c>
      <c r="L196" s="231" t="s">
        <v>164</v>
      </c>
      <c r="M196" s="276"/>
    </row>
    <row r="197" spans="1:13" ht="31.2" hidden="1" outlineLevel="1" x14ac:dyDescent="0.3">
      <c r="A197" s="226" t="s">
        <v>233</v>
      </c>
      <c r="B197" s="227" t="s">
        <v>313</v>
      </c>
      <c r="C197" s="10">
        <v>2021</v>
      </c>
      <c r="D197" s="228">
        <v>0.4</v>
      </c>
      <c r="E197" s="237">
        <v>1</v>
      </c>
      <c r="F197" s="228">
        <v>10</v>
      </c>
      <c r="G197" s="229">
        <f>31.11973+0.08209</f>
        <v>31.201820000000001</v>
      </c>
      <c r="H197" s="229">
        <v>31.119730000000001</v>
      </c>
      <c r="I197" s="228" t="s">
        <v>314</v>
      </c>
      <c r="J197" s="228" t="s">
        <v>315</v>
      </c>
      <c r="K197" s="230" t="s">
        <v>163</v>
      </c>
      <c r="L197" s="231" t="s">
        <v>164</v>
      </c>
      <c r="M197" s="276"/>
    </row>
    <row r="198" spans="1:13" ht="31.2" hidden="1" outlineLevel="1" x14ac:dyDescent="0.3">
      <c r="A198" s="226" t="s">
        <v>237</v>
      </c>
      <c r="B198" s="227" t="s">
        <v>316</v>
      </c>
      <c r="C198" s="10">
        <v>2021</v>
      </c>
      <c r="D198" s="228">
        <v>0.4</v>
      </c>
      <c r="E198" s="237">
        <v>1</v>
      </c>
      <c r="F198" s="228">
        <v>34.6</v>
      </c>
      <c r="G198" s="229">
        <f>31.75074+0.08209</f>
        <v>31.832830000000001</v>
      </c>
      <c r="H198" s="229">
        <v>31.75074</v>
      </c>
      <c r="I198" s="228" t="s">
        <v>317</v>
      </c>
      <c r="J198" s="228" t="s">
        <v>318</v>
      </c>
      <c r="K198" s="230" t="s">
        <v>165</v>
      </c>
      <c r="L198" s="231" t="s">
        <v>164</v>
      </c>
      <c r="M198" s="276"/>
    </row>
    <row r="199" spans="1:13" ht="31.2" hidden="1" outlineLevel="1" x14ac:dyDescent="0.3">
      <c r="A199" s="226" t="s">
        <v>241</v>
      </c>
      <c r="B199" s="227" t="s">
        <v>319</v>
      </c>
      <c r="C199" s="10">
        <v>2021</v>
      </c>
      <c r="D199" s="228">
        <v>0.4</v>
      </c>
      <c r="E199" s="237">
        <v>1</v>
      </c>
      <c r="F199" s="228">
        <v>15</v>
      </c>
      <c r="G199" s="229">
        <f>32.67211+0.08209</f>
        <v>32.754200000000004</v>
      </c>
      <c r="H199" s="229">
        <v>32.672110000000004</v>
      </c>
      <c r="I199" s="228" t="s">
        <v>320</v>
      </c>
      <c r="J199" s="228" t="s">
        <v>321</v>
      </c>
      <c r="K199" s="230" t="s">
        <v>163</v>
      </c>
      <c r="L199" s="231" t="s">
        <v>164</v>
      </c>
      <c r="M199" s="276"/>
    </row>
    <row r="200" spans="1:13" ht="31.2" hidden="1" outlineLevel="1" x14ac:dyDescent="0.3">
      <c r="A200" s="226" t="s">
        <v>245</v>
      </c>
      <c r="B200" s="227" t="s">
        <v>322</v>
      </c>
      <c r="C200" s="10">
        <v>2021</v>
      </c>
      <c r="D200" s="228">
        <v>0.4</v>
      </c>
      <c r="E200" s="237">
        <v>1</v>
      </c>
      <c r="F200" s="228">
        <v>15</v>
      </c>
      <c r="G200" s="229">
        <f>32.67212+0.08209</f>
        <v>32.75421</v>
      </c>
      <c r="H200" s="229">
        <v>32.67212</v>
      </c>
      <c r="I200" s="228" t="s">
        <v>320</v>
      </c>
      <c r="J200" s="228" t="s">
        <v>323</v>
      </c>
      <c r="K200" s="230" t="s">
        <v>163</v>
      </c>
      <c r="L200" s="231" t="s">
        <v>164</v>
      </c>
      <c r="M200" s="276"/>
    </row>
    <row r="201" spans="1:13" ht="31.2" hidden="1" outlineLevel="1" x14ac:dyDescent="0.3">
      <c r="A201" s="226" t="s">
        <v>249</v>
      </c>
      <c r="B201" s="227" t="s">
        <v>324</v>
      </c>
      <c r="C201" s="10">
        <v>2021</v>
      </c>
      <c r="D201" s="228">
        <v>0.4</v>
      </c>
      <c r="E201" s="237">
        <v>1</v>
      </c>
      <c r="F201" s="228">
        <v>15</v>
      </c>
      <c r="G201" s="229">
        <f>32.94794+0.08209</f>
        <v>33.030030000000004</v>
      </c>
      <c r="H201" s="229">
        <v>32.947940000000003</v>
      </c>
      <c r="I201" s="228" t="s">
        <v>325</v>
      </c>
      <c r="J201" s="228" t="s">
        <v>326</v>
      </c>
      <c r="K201" s="230" t="s">
        <v>163</v>
      </c>
      <c r="L201" s="231" t="s">
        <v>164</v>
      </c>
      <c r="M201" s="276"/>
    </row>
    <row r="202" spans="1:13" ht="31.2" hidden="1" outlineLevel="1" x14ac:dyDescent="0.3">
      <c r="A202" s="226" t="s">
        <v>253</v>
      </c>
      <c r="B202" s="227" t="s">
        <v>327</v>
      </c>
      <c r="C202" s="10">
        <v>2021</v>
      </c>
      <c r="D202" s="228">
        <v>0.4</v>
      </c>
      <c r="E202" s="237">
        <v>1</v>
      </c>
      <c r="F202" s="228">
        <v>15</v>
      </c>
      <c r="G202" s="229">
        <f>32.80508+0.08209</f>
        <v>32.887169999999998</v>
      </c>
      <c r="H202" s="229">
        <v>32.805079999999997</v>
      </c>
      <c r="I202" s="228" t="s">
        <v>328</v>
      </c>
      <c r="J202" s="228" t="s">
        <v>329</v>
      </c>
      <c r="K202" s="230" t="s">
        <v>163</v>
      </c>
      <c r="L202" s="231" t="s">
        <v>164</v>
      </c>
      <c r="M202" s="276"/>
    </row>
    <row r="203" spans="1:13" ht="46.8" hidden="1" outlineLevel="1" x14ac:dyDescent="0.3">
      <c r="A203" s="226" t="s">
        <v>330</v>
      </c>
      <c r="B203" s="227" t="s">
        <v>331</v>
      </c>
      <c r="C203" s="10">
        <v>2021</v>
      </c>
      <c r="D203" s="228">
        <v>0.4</v>
      </c>
      <c r="E203" s="237">
        <v>1</v>
      </c>
      <c r="F203" s="228">
        <v>15</v>
      </c>
      <c r="G203" s="229">
        <f>31.10771+0.08209</f>
        <v>31.189800000000002</v>
      </c>
      <c r="H203" s="229">
        <v>31.107710000000001</v>
      </c>
      <c r="I203" s="228" t="s">
        <v>332</v>
      </c>
      <c r="J203" s="228" t="s">
        <v>333</v>
      </c>
      <c r="K203" s="230" t="s">
        <v>165</v>
      </c>
      <c r="L203" s="231" t="s">
        <v>164</v>
      </c>
      <c r="M203" s="276"/>
    </row>
    <row r="204" spans="1:13" ht="31.2" hidden="1" outlineLevel="1" x14ac:dyDescent="0.3">
      <c r="A204" s="226" t="s">
        <v>334</v>
      </c>
      <c r="B204" s="227" t="s">
        <v>335</v>
      </c>
      <c r="C204" s="10">
        <v>2021</v>
      </c>
      <c r="D204" s="228">
        <v>0.4</v>
      </c>
      <c r="E204" s="237">
        <v>1</v>
      </c>
      <c r="F204" s="228">
        <v>15</v>
      </c>
      <c r="G204" s="229">
        <f>32.67211+0.08209</f>
        <v>32.754200000000004</v>
      </c>
      <c r="H204" s="229">
        <v>32.672110000000004</v>
      </c>
      <c r="I204" s="228" t="s">
        <v>332</v>
      </c>
      <c r="J204" s="228" t="s">
        <v>336</v>
      </c>
      <c r="K204" s="230" t="s">
        <v>163</v>
      </c>
      <c r="L204" s="231" t="s">
        <v>164</v>
      </c>
      <c r="M204" s="276"/>
    </row>
    <row r="205" spans="1:13" ht="62.4" hidden="1" outlineLevel="1" x14ac:dyDescent="0.3">
      <c r="A205" s="226" t="s">
        <v>337</v>
      </c>
      <c r="B205" s="227" t="s">
        <v>338</v>
      </c>
      <c r="C205" s="10">
        <v>2021</v>
      </c>
      <c r="D205" s="228">
        <v>0.4</v>
      </c>
      <c r="E205" s="237">
        <v>1</v>
      </c>
      <c r="F205" s="228">
        <v>15</v>
      </c>
      <c r="G205" s="229">
        <f>30.4334+0.08209</f>
        <v>30.51549</v>
      </c>
      <c r="H205" s="229">
        <v>30.433399999999999</v>
      </c>
      <c r="I205" s="228" t="s">
        <v>339</v>
      </c>
      <c r="J205" s="228" t="s">
        <v>340</v>
      </c>
      <c r="K205" s="230" t="s">
        <v>163</v>
      </c>
      <c r="L205" s="231" t="s">
        <v>164</v>
      </c>
      <c r="M205" s="276"/>
    </row>
    <row r="206" spans="1:13" ht="62.4" hidden="1" outlineLevel="1" x14ac:dyDescent="0.3">
      <c r="A206" s="226" t="s">
        <v>341</v>
      </c>
      <c r="B206" s="227" t="s">
        <v>342</v>
      </c>
      <c r="C206" s="10">
        <v>2021</v>
      </c>
      <c r="D206" s="228">
        <v>0.4</v>
      </c>
      <c r="E206" s="237">
        <v>1</v>
      </c>
      <c r="F206" s="228">
        <v>15</v>
      </c>
      <c r="G206" s="229">
        <f>30.4534+0.08209</f>
        <v>30.535489999999999</v>
      </c>
      <c r="H206" s="229">
        <v>30.433399999999999</v>
      </c>
      <c r="I206" s="228" t="s">
        <v>343</v>
      </c>
      <c r="J206" s="228" t="s">
        <v>344</v>
      </c>
      <c r="K206" s="230" t="s">
        <v>163</v>
      </c>
      <c r="L206" s="231" t="s">
        <v>164</v>
      </c>
      <c r="M206" s="276"/>
    </row>
    <row r="207" spans="1:13" ht="46.8" hidden="1" outlineLevel="1" x14ac:dyDescent="0.3">
      <c r="A207" s="226" t="s">
        <v>345</v>
      </c>
      <c r="B207" s="227" t="s">
        <v>346</v>
      </c>
      <c r="C207" s="10">
        <v>2021</v>
      </c>
      <c r="D207" s="228">
        <v>0.4</v>
      </c>
      <c r="E207" s="237">
        <v>1</v>
      </c>
      <c r="F207" s="228">
        <v>15</v>
      </c>
      <c r="G207" s="229">
        <f>30.14397+0.08209</f>
        <v>30.22606</v>
      </c>
      <c r="H207" s="229">
        <v>30.143969999999999</v>
      </c>
      <c r="I207" s="228" t="s">
        <v>347</v>
      </c>
      <c r="J207" s="228" t="s">
        <v>348</v>
      </c>
      <c r="K207" s="230" t="s">
        <v>163</v>
      </c>
      <c r="L207" s="231" t="s">
        <v>164</v>
      </c>
      <c r="M207" s="276"/>
    </row>
    <row r="208" spans="1:13" ht="62.4" hidden="1" outlineLevel="1" x14ac:dyDescent="0.3">
      <c r="A208" s="226" t="s">
        <v>349</v>
      </c>
      <c r="B208" s="227" t="s">
        <v>350</v>
      </c>
      <c r="C208" s="10">
        <v>2021</v>
      </c>
      <c r="D208" s="228">
        <v>0.4</v>
      </c>
      <c r="E208" s="237">
        <v>1</v>
      </c>
      <c r="F208" s="228">
        <v>12</v>
      </c>
      <c r="G208" s="229">
        <f>29.88901+0.08209</f>
        <v>29.9711</v>
      </c>
      <c r="H208" s="229">
        <v>29.889009999999999</v>
      </c>
      <c r="I208" s="228" t="s">
        <v>351</v>
      </c>
      <c r="J208" s="228" t="s">
        <v>352</v>
      </c>
      <c r="K208" s="230" t="s">
        <v>163</v>
      </c>
      <c r="L208" s="231" t="s">
        <v>164</v>
      </c>
      <c r="M208" s="276"/>
    </row>
    <row r="209" spans="1:13" ht="46.8" hidden="1" outlineLevel="1" x14ac:dyDescent="0.3">
      <c r="A209" s="226" t="s">
        <v>353</v>
      </c>
      <c r="B209" s="227" t="s">
        <v>354</v>
      </c>
      <c r="C209" s="10">
        <v>2021</v>
      </c>
      <c r="D209" s="228">
        <v>0.4</v>
      </c>
      <c r="E209" s="237">
        <v>1</v>
      </c>
      <c r="F209" s="228">
        <v>15</v>
      </c>
      <c r="G209" s="229">
        <f>28.73158+0.08209</f>
        <v>28.813670000000002</v>
      </c>
      <c r="H209" s="229">
        <v>28.731580000000001</v>
      </c>
      <c r="I209" s="228" t="s">
        <v>355</v>
      </c>
      <c r="J209" s="228" t="s">
        <v>356</v>
      </c>
      <c r="K209" s="230" t="s">
        <v>163</v>
      </c>
      <c r="L209" s="231" t="s">
        <v>164</v>
      </c>
      <c r="M209" s="276"/>
    </row>
    <row r="210" spans="1:13" ht="46.8" hidden="1" outlineLevel="1" x14ac:dyDescent="0.3">
      <c r="A210" s="226" t="s">
        <v>357</v>
      </c>
      <c r="B210" s="227" t="s">
        <v>358</v>
      </c>
      <c r="C210" s="10">
        <v>2021</v>
      </c>
      <c r="D210" s="228">
        <v>0.4</v>
      </c>
      <c r="E210" s="237">
        <v>1</v>
      </c>
      <c r="F210" s="228">
        <v>15</v>
      </c>
      <c r="G210" s="229">
        <f>28.80759+0.08209</f>
        <v>28.889680000000002</v>
      </c>
      <c r="H210" s="229">
        <v>28.807590000000001</v>
      </c>
      <c r="I210" s="228" t="s">
        <v>359</v>
      </c>
      <c r="J210" s="228" t="s">
        <v>360</v>
      </c>
      <c r="K210" s="230" t="s">
        <v>165</v>
      </c>
      <c r="L210" s="231" t="s">
        <v>164</v>
      </c>
      <c r="M210" s="276"/>
    </row>
    <row r="211" spans="1:13" ht="31.2" hidden="1" outlineLevel="1" x14ac:dyDescent="0.3">
      <c r="A211" s="226" t="s">
        <v>361</v>
      </c>
      <c r="B211" s="227" t="s">
        <v>362</v>
      </c>
      <c r="C211" s="10">
        <v>2021</v>
      </c>
      <c r="D211" s="228">
        <v>0.4</v>
      </c>
      <c r="E211" s="237">
        <v>1</v>
      </c>
      <c r="F211" s="228">
        <v>10.52</v>
      </c>
      <c r="G211" s="229">
        <f>29.54741+0.08209</f>
        <v>29.6295</v>
      </c>
      <c r="H211" s="229">
        <v>29.547409999999999</v>
      </c>
      <c r="I211" s="228" t="s">
        <v>363</v>
      </c>
      <c r="J211" s="228" t="s">
        <v>364</v>
      </c>
      <c r="K211" s="230" t="s">
        <v>165</v>
      </c>
      <c r="L211" s="231" t="s">
        <v>164</v>
      </c>
      <c r="M211" s="276"/>
    </row>
    <row r="212" spans="1:13" ht="62.4" hidden="1" outlineLevel="1" x14ac:dyDescent="0.3">
      <c r="A212" s="226" t="s">
        <v>365</v>
      </c>
      <c r="B212" s="227" t="s">
        <v>366</v>
      </c>
      <c r="C212" s="10">
        <v>2021</v>
      </c>
      <c r="D212" s="228">
        <v>0.4</v>
      </c>
      <c r="E212" s="237">
        <v>1</v>
      </c>
      <c r="F212" s="228">
        <v>15</v>
      </c>
      <c r="G212" s="229">
        <f>27.99922+0.08209</f>
        <v>28.081310000000002</v>
      </c>
      <c r="H212" s="229">
        <v>27.999220000000001</v>
      </c>
      <c r="I212" s="228" t="s">
        <v>367</v>
      </c>
      <c r="J212" s="228" t="s">
        <v>368</v>
      </c>
      <c r="K212" s="230" t="s">
        <v>163</v>
      </c>
      <c r="L212" s="231" t="s">
        <v>164</v>
      </c>
      <c r="M212" s="276"/>
    </row>
    <row r="213" spans="1:13" ht="62.4" hidden="1" outlineLevel="1" x14ac:dyDescent="0.3">
      <c r="A213" s="226" t="s">
        <v>369</v>
      </c>
      <c r="B213" s="227" t="s">
        <v>370</v>
      </c>
      <c r="C213" s="10">
        <v>2021</v>
      </c>
      <c r="D213" s="228">
        <v>0.4</v>
      </c>
      <c r="E213" s="237">
        <v>1</v>
      </c>
      <c r="F213" s="228">
        <v>15</v>
      </c>
      <c r="G213" s="229">
        <f>28.04957+0.08209</f>
        <v>28.13166</v>
      </c>
      <c r="H213" s="229">
        <v>28.049569999999999</v>
      </c>
      <c r="I213" s="228" t="s">
        <v>371</v>
      </c>
      <c r="J213" s="228" t="s">
        <v>372</v>
      </c>
      <c r="K213" s="230" t="s">
        <v>163</v>
      </c>
      <c r="L213" s="231" t="s">
        <v>164</v>
      </c>
      <c r="M213" s="276"/>
    </row>
    <row r="214" spans="1:13" ht="62.4" hidden="1" outlineLevel="1" x14ac:dyDescent="0.3">
      <c r="A214" s="226" t="s">
        <v>373</v>
      </c>
      <c r="B214" s="227" t="s">
        <v>374</v>
      </c>
      <c r="C214" s="10">
        <v>2021</v>
      </c>
      <c r="D214" s="228">
        <v>0.4</v>
      </c>
      <c r="E214" s="237">
        <v>1</v>
      </c>
      <c r="F214" s="228">
        <v>10</v>
      </c>
      <c r="G214" s="229">
        <f>27.64235+0.08209</f>
        <v>27.724440000000001</v>
      </c>
      <c r="H214" s="229">
        <v>27.64235</v>
      </c>
      <c r="I214" s="228" t="s">
        <v>375</v>
      </c>
      <c r="J214" s="228" t="s">
        <v>376</v>
      </c>
      <c r="K214" s="230" t="s">
        <v>163</v>
      </c>
      <c r="L214" s="231" t="s">
        <v>164</v>
      </c>
      <c r="M214" s="276"/>
    </row>
    <row r="215" spans="1:13" ht="62.4" hidden="1" outlineLevel="1" x14ac:dyDescent="0.3">
      <c r="A215" s="226" t="s">
        <v>377</v>
      </c>
      <c r="B215" s="227" t="s">
        <v>378</v>
      </c>
      <c r="C215" s="10">
        <v>2021</v>
      </c>
      <c r="D215" s="228">
        <v>0.4</v>
      </c>
      <c r="E215" s="237">
        <v>1</v>
      </c>
      <c r="F215" s="228">
        <v>15</v>
      </c>
      <c r="G215" s="229">
        <f>31.96987+0.08209</f>
        <v>32.051960000000001</v>
      </c>
      <c r="H215" s="229">
        <v>31.96987</v>
      </c>
      <c r="I215" s="228" t="s">
        <v>379</v>
      </c>
      <c r="J215" s="228" t="s">
        <v>380</v>
      </c>
      <c r="K215" s="230" t="s">
        <v>163</v>
      </c>
      <c r="L215" s="231" t="s">
        <v>164</v>
      </c>
      <c r="M215" s="276"/>
    </row>
    <row r="216" spans="1:13" ht="62.4" hidden="1" outlineLevel="1" x14ac:dyDescent="0.3">
      <c r="A216" s="226" t="s">
        <v>381</v>
      </c>
      <c r="B216" s="227" t="s">
        <v>382</v>
      </c>
      <c r="C216" s="10">
        <v>2021</v>
      </c>
      <c r="D216" s="228">
        <v>0.4</v>
      </c>
      <c r="E216" s="237">
        <v>1</v>
      </c>
      <c r="F216" s="228">
        <v>10</v>
      </c>
      <c r="G216" s="229">
        <f>29.67199+0.08209</f>
        <v>29.754080000000002</v>
      </c>
      <c r="H216" s="229">
        <v>29.671990000000001</v>
      </c>
      <c r="I216" s="228" t="s">
        <v>383</v>
      </c>
      <c r="J216" s="228" t="s">
        <v>384</v>
      </c>
      <c r="K216" s="230" t="s">
        <v>163</v>
      </c>
      <c r="L216" s="231" t="s">
        <v>164</v>
      </c>
      <c r="M216" s="276"/>
    </row>
    <row r="217" spans="1:13" ht="62.4" hidden="1" outlineLevel="1" x14ac:dyDescent="0.3">
      <c r="A217" s="226" t="s">
        <v>385</v>
      </c>
      <c r="B217" s="227" t="s">
        <v>386</v>
      </c>
      <c r="C217" s="10">
        <v>2021</v>
      </c>
      <c r="D217" s="228">
        <v>0.4</v>
      </c>
      <c r="E217" s="237">
        <v>1</v>
      </c>
      <c r="F217" s="228">
        <v>15</v>
      </c>
      <c r="G217" s="232">
        <f>52.46119+0.08209</f>
        <v>52.543280000000003</v>
      </c>
      <c r="H217" s="232">
        <v>52.461190000000002</v>
      </c>
      <c r="I217" s="228" t="s">
        <v>387</v>
      </c>
      <c r="J217" s="228" t="s">
        <v>388</v>
      </c>
      <c r="K217" s="230" t="s">
        <v>163</v>
      </c>
      <c r="L217" s="231" t="s">
        <v>164</v>
      </c>
      <c r="M217" s="276"/>
    </row>
    <row r="218" spans="1:13" ht="109.2" hidden="1" outlineLevel="1" x14ac:dyDescent="0.3">
      <c r="A218" s="226" t="s">
        <v>389</v>
      </c>
      <c r="B218" s="227" t="s">
        <v>390</v>
      </c>
      <c r="C218" s="10">
        <v>2021</v>
      </c>
      <c r="D218" s="228">
        <v>0.4</v>
      </c>
      <c r="E218" s="237">
        <v>1</v>
      </c>
      <c r="F218" s="228">
        <v>15</v>
      </c>
      <c r="G218" s="229">
        <f>29.56877+0.08209</f>
        <v>29.650860000000002</v>
      </c>
      <c r="H218" s="229">
        <v>29.568770000000001</v>
      </c>
      <c r="I218" s="228" t="s">
        <v>391</v>
      </c>
      <c r="J218" s="228" t="s">
        <v>392</v>
      </c>
      <c r="K218" s="230" t="s">
        <v>163</v>
      </c>
      <c r="L218" s="231" t="s">
        <v>164</v>
      </c>
      <c r="M218" s="276"/>
    </row>
    <row r="219" spans="1:13" ht="62.4" hidden="1" outlineLevel="1" x14ac:dyDescent="0.3">
      <c r="A219" s="226" t="s">
        <v>393</v>
      </c>
      <c r="B219" s="227" t="s">
        <v>394</v>
      </c>
      <c r="C219" s="10">
        <v>2021</v>
      </c>
      <c r="D219" s="228">
        <v>0.4</v>
      </c>
      <c r="E219" s="237">
        <v>1</v>
      </c>
      <c r="F219" s="228">
        <v>10</v>
      </c>
      <c r="G219" s="229">
        <f>29.26527+0.08209</f>
        <v>29.347360000000002</v>
      </c>
      <c r="H219" s="229">
        <v>29.265270000000001</v>
      </c>
      <c r="I219" s="228" t="s">
        <v>395</v>
      </c>
      <c r="J219" s="228" t="s">
        <v>396</v>
      </c>
      <c r="K219" s="230" t="s">
        <v>163</v>
      </c>
      <c r="L219" s="231" t="s">
        <v>164</v>
      </c>
      <c r="M219" s="276"/>
    </row>
    <row r="220" spans="1:13" ht="78" hidden="1" outlineLevel="1" x14ac:dyDescent="0.3">
      <c r="A220" s="226" t="s">
        <v>397</v>
      </c>
      <c r="B220" s="227" t="s">
        <v>398</v>
      </c>
      <c r="C220" s="10">
        <v>2021</v>
      </c>
      <c r="D220" s="228">
        <v>0.4</v>
      </c>
      <c r="E220" s="237">
        <v>1</v>
      </c>
      <c r="F220" s="228">
        <v>15</v>
      </c>
      <c r="G220" s="229">
        <f>27.22824+0.08209</f>
        <v>27.31033</v>
      </c>
      <c r="H220" s="229">
        <v>27.22824</v>
      </c>
      <c r="I220" s="228" t="s">
        <v>399</v>
      </c>
      <c r="J220" s="228" t="s">
        <v>400</v>
      </c>
      <c r="K220" s="230" t="s">
        <v>163</v>
      </c>
      <c r="L220" s="231" t="s">
        <v>164</v>
      </c>
      <c r="M220" s="276"/>
    </row>
    <row r="221" spans="1:13" ht="78" hidden="1" outlineLevel="1" x14ac:dyDescent="0.3">
      <c r="A221" s="226" t="s">
        <v>401</v>
      </c>
      <c r="B221" s="227" t="s">
        <v>402</v>
      </c>
      <c r="C221" s="10">
        <v>2021</v>
      </c>
      <c r="D221" s="228">
        <v>0.4</v>
      </c>
      <c r="E221" s="237">
        <v>1</v>
      </c>
      <c r="F221" s="228">
        <v>15</v>
      </c>
      <c r="G221" s="229">
        <f>31.02975+0.08209</f>
        <v>31.111840000000001</v>
      </c>
      <c r="H221" s="229">
        <v>31.02975</v>
      </c>
      <c r="I221" s="228" t="s">
        <v>403</v>
      </c>
      <c r="J221" s="228" t="s">
        <v>404</v>
      </c>
      <c r="K221" s="230" t="s">
        <v>165</v>
      </c>
      <c r="L221" s="231" t="s">
        <v>164</v>
      </c>
      <c r="M221" s="276"/>
    </row>
    <row r="222" spans="1:13" ht="93.6" hidden="1" outlineLevel="1" x14ac:dyDescent="0.3">
      <c r="A222" s="226" t="s">
        <v>405</v>
      </c>
      <c r="B222" s="227" t="s">
        <v>406</v>
      </c>
      <c r="C222" s="10">
        <v>2021</v>
      </c>
      <c r="D222" s="228">
        <v>0.4</v>
      </c>
      <c r="E222" s="237">
        <v>1</v>
      </c>
      <c r="F222" s="228">
        <v>7.5</v>
      </c>
      <c r="G222" s="229">
        <f>28.20204+0.08209</f>
        <v>28.284130000000001</v>
      </c>
      <c r="H222" s="229">
        <v>28.20204</v>
      </c>
      <c r="I222" s="228" t="s">
        <v>407</v>
      </c>
      <c r="J222" s="228" t="s">
        <v>408</v>
      </c>
      <c r="K222" s="230" t="s">
        <v>165</v>
      </c>
      <c r="L222" s="231" t="s">
        <v>164</v>
      </c>
      <c r="M222" s="276"/>
    </row>
    <row r="223" spans="1:13" ht="124.8" hidden="1" outlineLevel="1" x14ac:dyDescent="0.3">
      <c r="A223" s="226" t="s">
        <v>409</v>
      </c>
      <c r="B223" s="227" t="s">
        <v>410</v>
      </c>
      <c r="C223" s="10">
        <v>2021</v>
      </c>
      <c r="D223" s="228">
        <v>0.4</v>
      </c>
      <c r="E223" s="237">
        <v>1</v>
      </c>
      <c r="F223" s="228">
        <v>80</v>
      </c>
      <c r="G223" s="229">
        <f>35.16647+0.08209</f>
        <v>35.248559999999998</v>
      </c>
      <c r="H223" s="229">
        <v>35.166469999999997</v>
      </c>
      <c r="I223" s="228" t="s">
        <v>411</v>
      </c>
      <c r="J223" s="228" t="s">
        <v>412</v>
      </c>
      <c r="K223" s="230" t="s">
        <v>165</v>
      </c>
      <c r="L223" s="231" t="s">
        <v>164</v>
      </c>
      <c r="M223" s="276"/>
    </row>
    <row r="224" spans="1:13" ht="62.4" hidden="1" outlineLevel="1" x14ac:dyDescent="0.3">
      <c r="A224" s="226" t="s">
        <v>413</v>
      </c>
      <c r="B224" s="227" t="s">
        <v>414</v>
      </c>
      <c r="C224" s="10">
        <v>2021</v>
      </c>
      <c r="D224" s="228">
        <v>0.4</v>
      </c>
      <c r="E224" s="237">
        <v>1</v>
      </c>
      <c r="F224" s="228">
        <v>10</v>
      </c>
      <c r="G224" s="229">
        <f>30.12434+0.08209</f>
        <v>30.206430000000001</v>
      </c>
      <c r="H224" s="229">
        <v>30.12434</v>
      </c>
      <c r="I224" s="228" t="s">
        <v>415</v>
      </c>
      <c r="J224" s="228" t="s">
        <v>416</v>
      </c>
      <c r="K224" s="230" t="s">
        <v>163</v>
      </c>
      <c r="L224" s="231" t="s">
        <v>164</v>
      </c>
      <c r="M224" s="276"/>
    </row>
    <row r="225" spans="1:13" ht="62.4" hidden="1" outlineLevel="1" x14ac:dyDescent="0.3">
      <c r="A225" s="226" t="s">
        <v>417</v>
      </c>
      <c r="B225" s="227" t="s">
        <v>418</v>
      </c>
      <c r="C225" s="10">
        <v>2021</v>
      </c>
      <c r="D225" s="228">
        <v>0.4</v>
      </c>
      <c r="E225" s="237">
        <v>1</v>
      </c>
      <c r="F225" s="228">
        <v>15</v>
      </c>
      <c r="G225" s="229">
        <f>27.73479+0.08209</f>
        <v>27.816880000000001</v>
      </c>
      <c r="H225" s="229">
        <v>27.73479</v>
      </c>
      <c r="I225" s="228" t="s">
        <v>419</v>
      </c>
      <c r="J225" s="228" t="s">
        <v>420</v>
      </c>
      <c r="K225" s="230" t="s">
        <v>163</v>
      </c>
      <c r="L225" s="231" t="s">
        <v>164</v>
      </c>
      <c r="M225" s="276"/>
    </row>
    <row r="226" spans="1:13" ht="62.4" hidden="1" outlineLevel="1" x14ac:dyDescent="0.3">
      <c r="A226" s="226" t="s">
        <v>421</v>
      </c>
      <c r="B226" s="227" t="s">
        <v>422</v>
      </c>
      <c r="C226" s="10">
        <v>2021</v>
      </c>
      <c r="D226" s="228">
        <v>0.4</v>
      </c>
      <c r="E226" s="237">
        <v>1</v>
      </c>
      <c r="F226" s="228">
        <v>10</v>
      </c>
      <c r="G226" s="229">
        <f>20.69267+0.08209</f>
        <v>20.774760000000001</v>
      </c>
      <c r="H226" s="229">
        <v>20.69267</v>
      </c>
      <c r="I226" s="228" t="s">
        <v>423</v>
      </c>
      <c r="J226" s="228" t="s">
        <v>424</v>
      </c>
      <c r="K226" s="230" t="s">
        <v>163</v>
      </c>
      <c r="L226" s="231" t="s">
        <v>164</v>
      </c>
      <c r="M226" s="276"/>
    </row>
    <row r="227" spans="1:13" ht="78" hidden="1" outlineLevel="1" x14ac:dyDescent="0.3">
      <c r="A227" s="226" t="s">
        <v>425</v>
      </c>
      <c r="B227" s="227" t="s">
        <v>426</v>
      </c>
      <c r="C227" s="10">
        <v>2021</v>
      </c>
      <c r="D227" s="228">
        <v>0.4</v>
      </c>
      <c r="E227" s="237">
        <v>1</v>
      </c>
      <c r="F227" s="228">
        <v>10</v>
      </c>
      <c r="G227" s="229">
        <f>19.00661+0.08209</f>
        <v>19.088699999999999</v>
      </c>
      <c r="H227" s="229">
        <v>19.006609999999998</v>
      </c>
      <c r="I227" s="228" t="s">
        <v>427</v>
      </c>
      <c r="J227" s="228" t="s">
        <v>428</v>
      </c>
      <c r="K227" s="230" t="s">
        <v>163</v>
      </c>
      <c r="L227" s="231" t="s">
        <v>164</v>
      </c>
      <c r="M227" s="276"/>
    </row>
    <row r="228" spans="1:13" ht="109.2" hidden="1" outlineLevel="1" x14ac:dyDescent="0.3">
      <c r="A228" s="226" t="s">
        <v>429</v>
      </c>
      <c r="B228" s="227" t="s">
        <v>430</v>
      </c>
      <c r="C228" s="10">
        <v>2021</v>
      </c>
      <c r="D228" s="228">
        <v>0.4</v>
      </c>
      <c r="E228" s="237">
        <v>1</v>
      </c>
      <c r="F228" s="228">
        <v>20</v>
      </c>
      <c r="G228" s="229">
        <f>17.69767+0.08209</f>
        <v>17.77976</v>
      </c>
      <c r="H228" s="229">
        <v>17.697669999999999</v>
      </c>
      <c r="I228" s="228" t="s">
        <v>431</v>
      </c>
      <c r="J228" s="228" t="s">
        <v>432</v>
      </c>
      <c r="K228" s="230" t="s">
        <v>165</v>
      </c>
      <c r="L228" s="231" t="s">
        <v>164</v>
      </c>
      <c r="M228" s="276"/>
    </row>
    <row r="229" spans="1:13" ht="62.4" hidden="1" outlineLevel="1" x14ac:dyDescent="0.3">
      <c r="A229" s="226" t="s">
        <v>433</v>
      </c>
      <c r="B229" s="227" t="s">
        <v>434</v>
      </c>
      <c r="C229" s="10">
        <v>2021</v>
      </c>
      <c r="D229" s="228">
        <v>0.4</v>
      </c>
      <c r="E229" s="237">
        <v>1</v>
      </c>
      <c r="F229" s="228">
        <v>15</v>
      </c>
      <c r="G229" s="229">
        <f>18.71874+0.08209</f>
        <v>18.800830000000001</v>
      </c>
      <c r="H229" s="229">
        <v>18.71874</v>
      </c>
      <c r="I229" s="228" t="s">
        <v>435</v>
      </c>
      <c r="J229" s="228" t="s">
        <v>436</v>
      </c>
      <c r="K229" s="230" t="s">
        <v>163</v>
      </c>
      <c r="L229" s="231" t="s">
        <v>164</v>
      </c>
      <c r="M229" s="276"/>
    </row>
    <row r="230" spans="1:13" ht="78" hidden="1" outlineLevel="1" x14ac:dyDescent="0.3">
      <c r="A230" s="226" t="s">
        <v>437</v>
      </c>
      <c r="B230" s="227" t="s">
        <v>438</v>
      </c>
      <c r="C230" s="10">
        <v>2021</v>
      </c>
      <c r="D230" s="228">
        <v>0.4</v>
      </c>
      <c r="E230" s="237">
        <v>1</v>
      </c>
      <c r="F230" s="228">
        <v>15</v>
      </c>
      <c r="G230" s="229">
        <f>31.85356+0.08209</f>
        <v>31.935650000000003</v>
      </c>
      <c r="H230" s="229">
        <v>31.853560000000002</v>
      </c>
      <c r="I230" s="228" t="s">
        <v>439</v>
      </c>
      <c r="J230" s="228" t="s">
        <v>440</v>
      </c>
      <c r="K230" s="230" t="s">
        <v>163</v>
      </c>
      <c r="L230" s="231" t="s">
        <v>164</v>
      </c>
      <c r="M230" s="276"/>
    </row>
    <row r="231" spans="1:13" ht="62.4" hidden="1" outlineLevel="1" x14ac:dyDescent="0.3">
      <c r="A231" s="226" t="s">
        <v>441</v>
      </c>
      <c r="B231" s="227" t="s">
        <v>442</v>
      </c>
      <c r="C231" s="10">
        <v>2021</v>
      </c>
      <c r="D231" s="228">
        <v>0.4</v>
      </c>
      <c r="E231" s="237">
        <v>1</v>
      </c>
      <c r="F231" s="228">
        <v>15</v>
      </c>
      <c r="G231" s="229">
        <f>23.05777</f>
        <v>23.057770000000001</v>
      </c>
      <c r="H231" s="229">
        <v>23.057770000000001</v>
      </c>
      <c r="I231" s="228" t="s">
        <v>443</v>
      </c>
      <c r="J231" s="228" t="s">
        <v>444</v>
      </c>
      <c r="K231" s="230" t="s">
        <v>163</v>
      </c>
      <c r="L231" s="231" t="s">
        <v>164</v>
      </c>
      <c r="M231" s="276"/>
    </row>
    <row r="232" spans="1:13" ht="78" hidden="1" outlineLevel="1" x14ac:dyDescent="0.3">
      <c r="A232" s="226" t="s">
        <v>445</v>
      </c>
      <c r="B232" s="227" t="s">
        <v>446</v>
      </c>
      <c r="C232" s="10">
        <v>2021</v>
      </c>
      <c r="D232" s="228">
        <v>0.4</v>
      </c>
      <c r="E232" s="237">
        <v>1</v>
      </c>
      <c r="F232" s="228">
        <v>15</v>
      </c>
      <c r="G232" s="229">
        <f>22.66219+0.08209</f>
        <v>22.74428</v>
      </c>
      <c r="H232" s="229">
        <v>22.662189999999999</v>
      </c>
      <c r="I232" s="228" t="s">
        <v>447</v>
      </c>
      <c r="J232" s="228" t="s">
        <v>448</v>
      </c>
      <c r="K232" s="230" t="s">
        <v>163</v>
      </c>
      <c r="L232" s="231" t="s">
        <v>164</v>
      </c>
      <c r="M232" s="276"/>
    </row>
    <row r="233" spans="1:13" ht="62.4" hidden="1" outlineLevel="1" x14ac:dyDescent="0.3">
      <c r="A233" s="226" t="s">
        <v>449</v>
      </c>
      <c r="B233" s="227" t="s">
        <v>450</v>
      </c>
      <c r="C233" s="10">
        <v>2021</v>
      </c>
      <c r="D233" s="228">
        <v>0.4</v>
      </c>
      <c r="E233" s="237">
        <v>1</v>
      </c>
      <c r="F233" s="228">
        <v>15</v>
      </c>
      <c r="G233" s="229">
        <f>30.28485+0.08209</f>
        <v>30.36694</v>
      </c>
      <c r="H233" s="229">
        <v>30.284849999999999</v>
      </c>
      <c r="I233" s="228" t="s">
        <v>451</v>
      </c>
      <c r="J233" s="228" t="s">
        <v>452</v>
      </c>
      <c r="K233" s="230" t="s">
        <v>163</v>
      </c>
      <c r="L233" s="231" t="s">
        <v>164</v>
      </c>
      <c r="M233" s="276"/>
    </row>
    <row r="234" spans="1:13" ht="78" hidden="1" outlineLevel="1" x14ac:dyDescent="0.3">
      <c r="A234" s="226" t="s">
        <v>453</v>
      </c>
      <c r="B234" s="227" t="s">
        <v>454</v>
      </c>
      <c r="C234" s="10">
        <v>2021</v>
      </c>
      <c r="D234" s="228">
        <v>0.4</v>
      </c>
      <c r="E234" s="237">
        <v>1</v>
      </c>
      <c r="F234" s="228">
        <v>15</v>
      </c>
      <c r="G234" s="229">
        <f>30.65514+0.08209</f>
        <v>30.73723</v>
      </c>
      <c r="H234" s="229">
        <v>30.655139999999999</v>
      </c>
      <c r="I234" s="228" t="s">
        <v>455</v>
      </c>
      <c r="J234" s="228" t="s">
        <v>456</v>
      </c>
      <c r="K234" s="230" t="s">
        <v>163</v>
      </c>
      <c r="L234" s="231" t="s">
        <v>164</v>
      </c>
      <c r="M234" s="276"/>
    </row>
    <row r="235" spans="1:13" ht="31.2" hidden="1" outlineLevel="1" x14ac:dyDescent="0.3">
      <c r="A235" s="226" t="s">
        <v>457</v>
      </c>
      <c r="B235" s="227" t="s">
        <v>458</v>
      </c>
      <c r="C235" s="10">
        <v>2021</v>
      </c>
      <c r="D235" s="228">
        <v>0.4</v>
      </c>
      <c r="E235" s="237">
        <v>1</v>
      </c>
      <c r="F235" s="228">
        <v>15</v>
      </c>
      <c r="G235" s="229">
        <f>31.0885+0.08209</f>
        <v>31.170590000000001</v>
      </c>
      <c r="H235" s="229">
        <v>31.0885</v>
      </c>
      <c r="I235" s="228" t="s">
        <v>459</v>
      </c>
      <c r="J235" s="228" t="s">
        <v>460</v>
      </c>
      <c r="K235" s="230" t="s">
        <v>163</v>
      </c>
      <c r="L235" s="231" t="s">
        <v>164</v>
      </c>
      <c r="M235" s="276"/>
    </row>
    <row r="236" spans="1:13" ht="140.4" hidden="1" outlineLevel="1" x14ac:dyDescent="0.3">
      <c r="A236" s="226" t="s">
        <v>461</v>
      </c>
      <c r="B236" s="227" t="s">
        <v>462</v>
      </c>
      <c r="C236" s="10">
        <v>2021</v>
      </c>
      <c r="D236" s="228">
        <v>0.4</v>
      </c>
      <c r="E236" s="237">
        <v>1</v>
      </c>
      <c r="F236" s="228">
        <v>140</v>
      </c>
      <c r="G236" s="229">
        <f>56.47478+0.08209</f>
        <v>56.556870000000004</v>
      </c>
      <c r="H236" s="229">
        <v>56.474780000000003</v>
      </c>
      <c r="I236" s="228" t="s">
        <v>463</v>
      </c>
      <c r="J236" s="228" t="s">
        <v>464</v>
      </c>
      <c r="K236" s="230" t="s">
        <v>165</v>
      </c>
      <c r="L236" s="231" t="s">
        <v>164</v>
      </c>
      <c r="M236" s="276"/>
    </row>
    <row r="237" spans="1:13" ht="109.2" hidden="1" outlineLevel="1" x14ac:dyDescent="0.3">
      <c r="A237" s="226" t="s">
        <v>465</v>
      </c>
      <c r="B237" s="227" t="s">
        <v>466</v>
      </c>
      <c r="C237" s="10">
        <v>2021</v>
      </c>
      <c r="D237" s="228">
        <v>0.4</v>
      </c>
      <c r="E237" s="237">
        <v>1</v>
      </c>
      <c r="F237" s="228">
        <v>10</v>
      </c>
      <c r="G237" s="229">
        <f>30.08502+0.08209</f>
        <v>30.167110000000001</v>
      </c>
      <c r="H237" s="229">
        <v>30.08502</v>
      </c>
      <c r="I237" s="228" t="s">
        <v>467</v>
      </c>
      <c r="J237" s="228" t="s">
        <v>468</v>
      </c>
      <c r="K237" s="230" t="s">
        <v>165</v>
      </c>
      <c r="L237" s="231" t="s">
        <v>164</v>
      </c>
      <c r="M237" s="276"/>
    </row>
    <row r="238" spans="1:13" ht="93.6" hidden="1" outlineLevel="1" x14ac:dyDescent="0.3">
      <c r="A238" s="226" t="s">
        <v>469</v>
      </c>
      <c r="B238" s="227" t="s">
        <v>470</v>
      </c>
      <c r="C238" s="10">
        <v>2021</v>
      </c>
      <c r="D238" s="228">
        <v>0.4</v>
      </c>
      <c r="E238" s="237">
        <v>1</v>
      </c>
      <c r="F238" s="228">
        <v>15</v>
      </c>
      <c r="G238" s="229">
        <f>33.44881+0.08209</f>
        <v>33.530900000000003</v>
      </c>
      <c r="H238" s="229">
        <v>33.448810000000002</v>
      </c>
      <c r="I238" s="228" t="s">
        <v>471</v>
      </c>
      <c r="J238" s="228" t="s">
        <v>472</v>
      </c>
      <c r="K238" s="230" t="s">
        <v>163</v>
      </c>
      <c r="L238" s="231" t="s">
        <v>164</v>
      </c>
      <c r="M238" s="276"/>
    </row>
    <row r="239" spans="1:13" ht="62.4" hidden="1" outlineLevel="1" x14ac:dyDescent="0.3">
      <c r="A239" s="226" t="s">
        <v>473</v>
      </c>
      <c r="B239" s="227" t="s">
        <v>474</v>
      </c>
      <c r="C239" s="10">
        <v>2021</v>
      </c>
      <c r="D239" s="228">
        <v>0.4</v>
      </c>
      <c r="E239" s="237">
        <v>1</v>
      </c>
      <c r="F239" s="228">
        <v>15</v>
      </c>
      <c r="G239" s="229">
        <f>30.71862+0.08209</f>
        <v>30.800710000000002</v>
      </c>
      <c r="H239" s="229">
        <v>30.718620000000001</v>
      </c>
      <c r="I239" s="228" t="s">
        <v>475</v>
      </c>
      <c r="J239" s="228" t="s">
        <v>476</v>
      </c>
      <c r="K239" s="230" t="s">
        <v>163</v>
      </c>
      <c r="L239" s="231" t="s">
        <v>164</v>
      </c>
      <c r="M239" s="276"/>
    </row>
    <row r="240" spans="1:13" ht="93.6" hidden="1" outlineLevel="1" x14ac:dyDescent="0.3">
      <c r="A240" s="226" t="s">
        <v>477</v>
      </c>
      <c r="B240" s="227" t="s">
        <v>478</v>
      </c>
      <c r="C240" s="10">
        <v>2021</v>
      </c>
      <c r="D240" s="228">
        <v>0.4</v>
      </c>
      <c r="E240" s="237">
        <v>1</v>
      </c>
      <c r="F240" s="228">
        <v>15</v>
      </c>
      <c r="G240" s="229">
        <f>33.4488+0.08209</f>
        <v>33.530889999999999</v>
      </c>
      <c r="H240" s="229">
        <v>33.448799999999999</v>
      </c>
      <c r="I240" s="228" t="s">
        <v>479</v>
      </c>
      <c r="J240" s="228" t="s">
        <v>480</v>
      </c>
      <c r="K240" s="230" t="s">
        <v>163</v>
      </c>
      <c r="L240" s="231" t="s">
        <v>164</v>
      </c>
      <c r="M240" s="276"/>
    </row>
    <row r="241" spans="1:13" ht="78" hidden="1" outlineLevel="1" x14ac:dyDescent="0.3">
      <c r="A241" s="226" t="s">
        <v>481</v>
      </c>
      <c r="B241" s="227" t="s">
        <v>482</v>
      </c>
      <c r="C241" s="10">
        <v>2021</v>
      </c>
      <c r="D241" s="228">
        <v>0.4</v>
      </c>
      <c r="E241" s="237">
        <v>1</v>
      </c>
      <c r="F241" s="228">
        <v>10</v>
      </c>
      <c r="G241" s="229">
        <f>34.14787+0.08209</f>
        <v>34.229959999999998</v>
      </c>
      <c r="H241" s="229">
        <v>34.147869999999998</v>
      </c>
      <c r="I241" s="228" t="s">
        <v>483</v>
      </c>
      <c r="J241" s="228" t="s">
        <v>484</v>
      </c>
      <c r="K241" s="230" t="s">
        <v>163</v>
      </c>
      <c r="L241" s="231" t="s">
        <v>164</v>
      </c>
      <c r="M241" s="276"/>
    </row>
    <row r="242" spans="1:13" ht="78" hidden="1" outlineLevel="1" x14ac:dyDescent="0.3">
      <c r="A242" s="226" t="s">
        <v>485</v>
      </c>
      <c r="B242" s="227" t="s">
        <v>486</v>
      </c>
      <c r="C242" s="10">
        <v>2021</v>
      </c>
      <c r="D242" s="228">
        <v>0.4</v>
      </c>
      <c r="E242" s="237">
        <v>1</v>
      </c>
      <c r="F242" s="228">
        <v>15</v>
      </c>
      <c r="G242" s="229">
        <f>34.14789+0.08209</f>
        <v>34.229979999999998</v>
      </c>
      <c r="H242" s="229">
        <v>34.147889999999997</v>
      </c>
      <c r="I242" s="228" t="s">
        <v>487</v>
      </c>
      <c r="J242" s="228" t="s">
        <v>488</v>
      </c>
      <c r="K242" s="230" t="s">
        <v>163</v>
      </c>
      <c r="L242" s="231" t="s">
        <v>164</v>
      </c>
      <c r="M242" s="276"/>
    </row>
    <row r="243" spans="1:13" ht="93.6" hidden="1" outlineLevel="1" x14ac:dyDescent="0.3">
      <c r="A243" s="226" t="s">
        <v>489</v>
      </c>
      <c r="B243" s="227" t="s">
        <v>490</v>
      </c>
      <c r="C243" s="10">
        <v>2021</v>
      </c>
      <c r="D243" s="228">
        <v>0.4</v>
      </c>
      <c r="E243" s="237">
        <v>1</v>
      </c>
      <c r="F243" s="228">
        <v>15</v>
      </c>
      <c r="G243" s="229">
        <f>34.14788+0.08209</f>
        <v>34.229970000000002</v>
      </c>
      <c r="H243" s="229">
        <v>34.147880000000001</v>
      </c>
      <c r="I243" s="228" t="s">
        <v>491</v>
      </c>
      <c r="J243" s="228" t="s">
        <v>492</v>
      </c>
      <c r="K243" s="230" t="s">
        <v>163</v>
      </c>
      <c r="L243" s="231" t="s">
        <v>164</v>
      </c>
      <c r="M243" s="276"/>
    </row>
    <row r="244" spans="1:13" ht="78" hidden="1" outlineLevel="1" x14ac:dyDescent="0.3">
      <c r="A244" s="226" t="s">
        <v>493</v>
      </c>
      <c r="B244" s="227" t="s">
        <v>494</v>
      </c>
      <c r="C244" s="10">
        <v>2021</v>
      </c>
      <c r="D244" s="228">
        <v>0.4</v>
      </c>
      <c r="E244" s="237">
        <v>1</v>
      </c>
      <c r="F244" s="228">
        <v>10</v>
      </c>
      <c r="G244" s="229">
        <f>33.33513+0.08209</f>
        <v>33.41722</v>
      </c>
      <c r="H244" s="229">
        <v>33.335129999999999</v>
      </c>
      <c r="I244" s="228" t="s">
        <v>495</v>
      </c>
      <c r="J244" s="228" t="s">
        <v>496</v>
      </c>
      <c r="K244" s="230" t="s">
        <v>163</v>
      </c>
      <c r="L244" s="231" t="s">
        <v>164</v>
      </c>
      <c r="M244" s="276"/>
    </row>
    <row r="245" spans="1:13" ht="140.4" hidden="1" outlineLevel="1" x14ac:dyDescent="0.3">
      <c r="A245" s="226" t="s">
        <v>497</v>
      </c>
      <c r="B245" s="227" t="s">
        <v>498</v>
      </c>
      <c r="C245" s="10">
        <v>2021</v>
      </c>
      <c r="D245" s="228">
        <v>0.4</v>
      </c>
      <c r="E245" s="237">
        <v>1</v>
      </c>
      <c r="F245" s="228">
        <v>15</v>
      </c>
      <c r="G245" s="229">
        <f>25.56824+0.08209</f>
        <v>25.65033</v>
      </c>
      <c r="H245" s="229">
        <v>25.568239999999999</v>
      </c>
      <c r="I245" s="228" t="s">
        <v>499</v>
      </c>
      <c r="J245" s="228" t="s">
        <v>500</v>
      </c>
      <c r="K245" s="230" t="s">
        <v>163</v>
      </c>
      <c r="L245" s="231" t="s">
        <v>164</v>
      </c>
      <c r="M245" s="276"/>
    </row>
    <row r="246" spans="1:13" ht="78" hidden="1" outlineLevel="1" x14ac:dyDescent="0.3">
      <c r="A246" s="226" t="s">
        <v>501</v>
      </c>
      <c r="B246" s="227" t="s">
        <v>502</v>
      </c>
      <c r="C246" s="10">
        <v>2021</v>
      </c>
      <c r="D246" s="228">
        <v>0.4</v>
      </c>
      <c r="E246" s="237">
        <v>1</v>
      </c>
      <c r="F246" s="228">
        <v>15</v>
      </c>
      <c r="G246" s="229">
        <f>31.5467+0.08209</f>
        <v>31.628790000000002</v>
      </c>
      <c r="H246" s="229">
        <v>31.546700000000001</v>
      </c>
      <c r="I246" s="228" t="s">
        <v>503</v>
      </c>
      <c r="J246" s="228" t="s">
        <v>504</v>
      </c>
      <c r="K246" s="230" t="s">
        <v>163</v>
      </c>
      <c r="L246" s="231" t="s">
        <v>164</v>
      </c>
      <c r="M246" s="276"/>
    </row>
    <row r="247" spans="1:13" ht="93.6" hidden="1" outlineLevel="1" x14ac:dyDescent="0.3">
      <c r="A247" s="226" t="s">
        <v>505</v>
      </c>
      <c r="B247" s="227" t="s">
        <v>506</v>
      </c>
      <c r="C247" s="10">
        <v>2021</v>
      </c>
      <c r="D247" s="228">
        <v>0.4</v>
      </c>
      <c r="E247" s="237">
        <v>1</v>
      </c>
      <c r="F247" s="228">
        <v>40</v>
      </c>
      <c r="G247" s="229">
        <f>36.93328+0.08209</f>
        <v>37.015370000000004</v>
      </c>
      <c r="H247" s="229">
        <v>36.933280000000003</v>
      </c>
      <c r="I247" s="228" t="s">
        <v>507</v>
      </c>
      <c r="J247" s="228" t="s">
        <v>508</v>
      </c>
      <c r="K247" s="230" t="s">
        <v>165</v>
      </c>
      <c r="L247" s="231" t="s">
        <v>164</v>
      </c>
      <c r="M247" s="276"/>
    </row>
    <row r="248" spans="1:13" ht="62.4" hidden="1" outlineLevel="1" x14ac:dyDescent="0.3">
      <c r="A248" s="226" t="s">
        <v>509</v>
      </c>
      <c r="B248" s="227" t="s">
        <v>510</v>
      </c>
      <c r="C248" s="10">
        <v>2021</v>
      </c>
      <c r="D248" s="228">
        <v>0.4</v>
      </c>
      <c r="E248" s="237">
        <v>1</v>
      </c>
      <c r="F248" s="228">
        <v>15</v>
      </c>
      <c r="G248" s="229">
        <f>31.24594+0.08209</f>
        <v>31.328030000000002</v>
      </c>
      <c r="H248" s="229">
        <v>31.245940000000001</v>
      </c>
      <c r="I248" s="228" t="s">
        <v>511</v>
      </c>
      <c r="J248" s="228" t="s">
        <v>512</v>
      </c>
      <c r="K248" s="230" t="s">
        <v>163</v>
      </c>
      <c r="L248" s="231" t="s">
        <v>164</v>
      </c>
      <c r="M248" s="276"/>
    </row>
    <row r="249" spans="1:13" ht="78" hidden="1" outlineLevel="1" x14ac:dyDescent="0.3">
      <c r="A249" s="226" t="s">
        <v>513</v>
      </c>
      <c r="B249" s="227" t="s">
        <v>514</v>
      </c>
      <c r="C249" s="10">
        <v>2021</v>
      </c>
      <c r="D249" s="228">
        <v>0.4</v>
      </c>
      <c r="E249" s="237">
        <v>1</v>
      </c>
      <c r="F249" s="228">
        <v>15</v>
      </c>
      <c r="G249" s="229">
        <f>32.68758+0.08209</f>
        <v>32.769669999999998</v>
      </c>
      <c r="H249" s="229">
        <v>32.687579999999997</v>
      </c>
      <c r="I249" s="228" t="s">
        <v>515</v>
      </c>
      <c r="J249" s="228" t="s">
        <v>516</v>
      </c>
      <c r="K249" s="230" t="s">
        <v>163</v>
      </c>
      <c r="L249" s="231" t="s">
        <v>164</v>
      </c>
      <c r="M249" s="276"/>
    </row>
    <row r="250" spans="1:13" ht="124.8" hidden="1" outlineLevel="1" x14ac:dyDescent="0.3">
      <c r="A250" s="226" t="s">
        <v>517</v>
      </c>
      <c r="B250" s="227" t="s">
        <v>518</v>
      </c>
      <c r="C250" s="10">
        <v>2021</v>
      </c>
      <c r="D250" s="228">
        <v>0.4</v>
      </c>
      <c r="E250" s="237">
        <v>1</v>
      </c>
      <c r="F250" s="228">
        <v>45</v>
      </c>
      <c r="G250" s="229">
        <f>33.13479+0.08209</f>
        <v>33.216880000000003</v>
      </c>
      <c r="H250" s="229">
        <v>33.134790000000002</v>
      </c>
      <c r="I250" s="228" t="s">
        <v>519</v>
      </c>
      <c r="J250" s="228" t="s">
        <v>520</v>
      </c>
      <c r="K250" s="230" t="s">
        <v>165</v>
      </c>
      <c r="L250" s="231" t="s">
        <v>164</v>
      </c>
      <c r="M250" s="276"/>
    </row>
    <row r="251" spans="1:13" ht="78" hidden="1" outlineLevel="1" x14ac:dyDescent="0.3">
      <c r="A251" s="226" t="s">
        <v>521</v>
      </c>
      <c r="B251" s="227" t="s">
        <v>522</v>
      </c>
      <c r="C251" s="10">
        <v>2021</v>
      </c>
      <c r="D251" s="228">
        <v>0.4</v>
      </c>
      <c r="E251" s="237">
        <v>1</v>
      </c>
      <c r="F251" s="228">
        <v>15</v>
      </c>
      <c r="G251" s="229">
        <f>33.74472+0.08209</f>
        <v>33.826810000000002</v>
      </c>
      <c r="H251" s="229">
        <v>33.744720000000001</v>
      </c>
      <c r="I251" s="228" t="s">
        <v>523</v>
      </c>
      <c r="J251" s="228" t="s">
        <v>524</v>
      </c>
      <c r="K251" s="230" t="s">
        <v>163</v>
      </c>
      <c r="L251" s="231" t="s">
        <v>164</v>
      </c>
      <c r="M251" s="276"/>
    </row>
    <row r="252" spans="1:13" ht="93.6" hidden="1" outlineLevel="1" x14ac:dyDescent="0.3">
      <c r="A252" s="226" t="s">
        <v>525</v>
      </c>
      <c r="B252" s="227" t="s">
        <v>526</v>
      </c>
      <c r="C252" s="10">
        <v>2021</v>
      </c>
      <c r="D252" s="228">
        <v>0.4</v>
      </c>
      <c r="E252" s="237">
        <v>1</v>
      </c>
      <c r="F252" s="228">
        <v>7.5</v>
      </c>
      <c r="G252" s="229">
        <f>33.00989+0.08209</f>
        <v>33.09198</v>
      </c>
      <c r="H252" s="229">
        <v>33.009889999999999</v>
      </c>
      <c r="I252" s="228" t="s">
        <v>527</v>
      </c>
      <c r="J252" s="228" t="s">
        <v>528</v>
      </c>
      <c r="K252" s="230" t="s">
        <v>165</v>
      </c>
      <c r="L252" s="231" t="s">
        <v>164</v>
      </c>
      <c r="M252" s="276"/>
    </row>
    <row r="253" spans="1:13" ht="93.6" hidden="1" outlineLevel="1" x14ac:dyDescent="0.3">
      <c r="A253" s="226" t="s">
        <v>529</v>
      </c>
      <c r="B253" s="227" t="s">
        <v>530</v>
      </c>
      <c r="C253" s="10">
        <v>2021</v>
      </c>
      <c r="D253" s="228">
        <v>0.4</v>
      </c>
      <c r="E253" s="237">
        <v>1</v>
      </c>
      <c r="F253" s="228">
        <v>7.5</v>
      </c>
      <c r="G253" s="229">
        <f>36.59598+0.08209</f>
        <v>36.678069999999998</v>
      </c>
      <c r="H253" s="229">
        <v>36.595979999999997</v>
      </c>
      <c r="I253" s="228" t="s">
        <v>531</v>
      </c>
      <c r="J253" s="228" t="s">
        <v>532</v>
      </c>
      <c r="K253" s="230" t="s">
        <v>165</v>
      </c>
      <c r="L253" s="231" t="s">
        <v>164</v>
      </c>
      <c r="M253" s="276"/>
    </row>
    <row r="254" spans="1:13" ht="62.4" hidden="1" outlineLevel="1" x14ac:dyDescent="0.3">
      <c r="A254" s="226" t="s">
        <v>533</v>
      </c>
      <c r="B254" s="227" t="s">
        <v>534</v>
      </c>
      <c r="C254" s="10">
        <v>2021</v>
      </c>
      <c r="D254" s="228">
        <v>0.4</v>
      </c>
      <c r="E254" s="237">
        <v>1</v>
      </c>
      <c r="F254" s="228">
        <v>15</v>
      </c>
      <c r="G254" s="229">
        <f>33.57568+0.08209</f>
        <v>33.657769999999999</v>
      </c>
      <c r="H254" s="229">
        <v>33.575679999999998</v>
      </c>
      <c r="I254" s="228" t="s">
        <v>535</v>
      </c>
      <c r="J254" s="228" t="s">
        <v>536</v>
      </c>
      <c r="K254" s="230" t="s">
        <v>163</v>
      </c>
      <c r="L254" s="231" t="s">
        <v>164</v>
      </c>
      <c r="M254" s="276"/>
    </row>
    <row r="255" spans="1:13" ht="62.4" hidden="1" outlineLevel="1" x14ac:dyDescent="0.3">
      <c r="A255" s="226" t="s">
        <v>537</v>
      </c>
      <c r="B255" s="227" t="s">
        <v>538</v>
      </c>
      <c r="C255" s="10">
        <v>2021</v>
      </c>
      <c r="D255" s="228">
        <v>0.4</v>
      </c>
      <c r="E255" s="237">
        <v>1</v>
      </c>
      <c r="F255" s="228">
        <v>11.5</v>
      </c>
      <c r="G255" s="229">
        <f>33.79038+0.08209</f>
        <v>33.87247</v>
      </c>
      <c r="H255" s="229">
        <v>33.790379999999999</v>
      </c>
      <c r="I255" s="228" t="s">
        <v>539</v>
      </c>
      <c r="J255" s="228" t="s">
        <v>540</v>
      </c>
      <c r="K255" s="230" t="s">
        <v>163</v>
      </c>
      <c r="L255" s="231" t="s">
        <v>164</v>
      </c>
      <c r="M255" s="276"/>
    </row>
    <row r="256" spans="1:13" ht="78" hidden="1" outlineLevel="1" x14ac:dyDescent="0.3">
      <c r="A256" s="226" t="s">
        <v>541</v>
      </c>
      <c r="B256" s="227" t="s">
        <v>542</v>
      </c>
      <c r="C256" s="10">
        <v>2021</v>
      </c>
      <c r="D256" s="228">
        <v>0.4</v>
      </c>
      <c r="E256" s="237">
        <v>1</v>
      </c>
      <c r="F256" s="228">
        <v>10</v>
      </c>
      <c r="G256" s="229">
        <f>30.78602+0.08209</f>
        <v>30.868110000000001</v>
      </c>
      <c r="H256" s="229">
        <v>30.786020000000001</v>
      </c>
      <c r="I256" s="228" t="s">
        <v>543</v>
      </c>
      <c r="J256" s="228" t="s">
        <v>544</v>
      </c>
      <c r="K256" s="230" t="s">
        <v>163</v>
      </c>
      <c r="L256" s="231" t="s">
        <v>164</v>
      </c>
      <c r="M256" s="276"/>
    </row>
    <row r="257" spans="1:23" ht="109.2" hidden="1" outlineLevel="1" x14ac:dyDescent="0.3">
      <c r="A257" s="226" t="s">
        <v>545</v>
      </c>
      <c r="B257" s="227" t="s">
        <v>546</v>
      </c>
      <c r="C257" s="10">
        <v>2021</v>
      </c>
      <c r="D257" s="228">
        <v>0.4</v>
      </c>
      <c r="E257" s="237">
        <v>1</v>
      </c>
      <c r="F257" s="228">
        <v>45</v>
      </c>
      <c r="G257" s="229">
        <f>38.0674+0.08209</f>
        <v>38.14949</v>
      </c>
      <c r="H257" s="229">
        <v>38.067399999999999</v>
      </c>
      <c r="I257" s="228" t="s">
        <v>547</v>
      </c>
      <c r="J257" s="228" t="s">
        <v>548</v>
      </c>
      <c r="K257" s="230" t="s">
        <v>165</v>
      </c>
      <c r="L257" s="231" t="s">
        <v>164</v>
      </c>
      <c r="M257" s="276"/>
    </row>
    <row r="258" spans="1:23" ht="124.8" hidden="1" outlineLevel="1" x14ac:dyDescent="0.3">
      <c r="A258" s="226" t="s">
        <v>549</v>
      </c>
      <c r="B258" s="227" t="s">
        <v>550</v>
      </c>
      <c r="C258" s="10">
        <v>2021</v>
      </c>
      <c r="D258" s="233">
        <v>0.4</v>
      </c>
      <c r="E258" s="237">
        <v>1</v>
      </c>
      <c r="F258" s="233">
        <v>40</v>
      </c>
      <c r="G258" s="234">
        <f>36.41302+0.08209</f>
        <v>36.495110000000004</v>
      </c>
      <c r="H258" s="234">
        <v>36.413020000000003</v>
      </c>
      <c r="I258" s="228" t="s">
        <v>551</v>
      </c>
      <c r="J258" s="228" t="s">
        <v>552</v>
      </c>
      <c r="K258" s="230" t="s">
        <v>165</v>
      </c>
      <c r="L258" s="231" t="s">
        <v>164</v>
      </c>
      <c r="M258" s="276"/>
    </row>
    <row r="259" spans="1:23" collapsed="1" x14ac:dyDescent="0.3">
      <c r="A259" s="221" t="s">
        <v>54</v>
      </c>
      <c r="B259" s="222" t="s">
        <v>257</v>
      </c>
      <c r="C259" s="10">
        <v>2021</v>
      </c>
      <c r="D259" s="223"/>
      <c r="E259" s="224">
        <f>SUM(E260:E264)</f>
        <v>5</v>
      </c>
      <c r="F259" s="223"/>
      <c r="G259" s="224">
        <f>SUM(G260:G264)</f>
        <v>222.06609</v>
      </c>
      <c r="H259" s="223"/>
      <c r="I259" s="223"/>
      <c r="J259" s="223"/>
      <c r="K259" s="223"/>
      <c r="L259" s="225"/>
      <c r="M259" s="276"/>
    </row>
    <row r="260" spans="1:23" ht="78" hidden="1" outlineLevel="1" x14ac:dyDescent="0.3">
      <c r="A260" s="235" t="s">
        <v>258</v>
      </c>
      <c r="B260" s="236" t="s">
        <v>553</v>
      </c>
      <c r="C260" s="10">
        <v>2021</v>
      </c>
      <c r="D260" s="237">
        <v>0.4</v>
      </c>
      <c r="E260" s="237">
        <v>1</v>
      </c>
      <c r="F260" s="237">
        <v>100</v>
      </c>
      <c r="G260" s="238">
        <v>43.554819999999999</v>
      </c>
      <c r="H260" s="238">
        <v>43.554819999999999</v>
      </c>
      <c r="I260" s="237" t="s">
        <v>554</v>
      </c>
      <c r="J260" s="237" t="s">
        <v>555</v>
      </c>
      <c r="K260" s="168" t="s">
        <v>165</v>
      </c>
      <c r="L260" s="239" t="s">
        <v>164</v>
      </c>
      <c r="M260" s="276"/>
    </row>
    <row r="261" spans="1:23" ht="31.2" hidden="1" outlineLevel="1" x14ac:dyDescent="0.3">
      <c r="A261" s="235" t="s">
        <v>262</v>
      </c>
      <c r="B261" s="236" t="s">
        <v>556</v>
      </c>
      <c r="C261" s="10">
        <v>2021</v>
      </c>
      <c r="D261" s="237">
        <v>0.4</v>
      </c>
      <c r="E261" s="237">
        <v>1</v>
      </c>
      <c r="F261" s="237">
        <v>100</v>
      </c>
      <c r="G261" s="238">
        <v>45.688830000000003</v>
      </c>
      <c r="H261" s="238">
        <v>45.688830000000003</v>
      </c>
      <c r="I261" s="237" t="s">
        <v>557</v>
      </c>
      <c r="J261" s="237" t="s">
        <v>558</v>
      </c>
      <c r="K261" s="168" t="s">
        <v>165</v>
      </c>
      <c r="L261" s="239" t="s">
        <v>164</v>
      </c>
      <c r="M261" s="276"/>
    </row>
    <row r="262" spans="1:23" ht="124.8" hidden="1" outlineLevel="1" x14ac:dyDescent="0.3">
      <c r="A262" s="235" t="s">
        <v>559</v>
      </c>
      <c r="B262" s="236" t="s">
        <v>560</v>
      </c>
      <c r="C262" s="10">
        <v>2021</v>
      </c>
      <c r="D262" s="237">
        <v>0.4</v>
      </c>
      <c r="E262" s="237">
        <v>1</v>
      </c>
      <c r="F262" s="237">
        <v>80</v>
      </c>
      <c r="G262" s="238">
        <v>43.155520000000003</v>
      </c>
      <c r="H262" s="238">
        <v>43.155520000000003</v>
      </c>
      <c r="I262" s="237" t="s">
        <v>561</v>
      </c>
      <c r="J262" s="237" t="s">
        <v>562</v>
      </c>
      <c r="K262" s="168" t="s">
        <v>165</v>
      </c>
      <c r="L262" s="239" t="s">
        <v>164</v>
      </c>
      <c r="M262" s="276"/>
    </row>
    <row r="263" spans="1:23" ht="109.2" hidden="1" outlineLevel="1" x14ac:dyDescent="0.3">
      <c r="A263" s="235" t="s">
        <v>563</v>
      </c>
      <c r="B263" s="236" t="s">
        <v>564</v>
      </c>
      <c r="C263" s="10">
        <v>2021</v>
      </c>
      <c r="D263" s="237">
        <v>0.4</v>
      </c>
      <c r="E263" s="237">
        <v>1</v>
      </c>
      <c r="F263" s="237">
        <v>54</v>
      </c>
      <c r="G263" s="238">
        <v>39.32347</v>
      </c>
      <c r="H263" s="238">
        <v>39.32347</v>
      </c>
      <c r="I263" s="237" t="s">
        <v>565</v>
      </c>
      <c r="J263" s="237" t="s">
        <v>566</v>
      </c>
      <c r="K263" s="168" t="s">
        <v>165</v>
      </c>
      <c r="L263" s="239" t="s">
        <v>164</v>
      </c>
      <c r="M263" s="276"/>
    </row>
    <row r="264" spans="1:23" ht="93.6" hidden="1" outlineLevel="1" x14ac:dyDescent="0.3">
      <c r="A264" s="235" t="s">
        <v>567</v>
      </c>
      <c r="B264" s="236" t="s">
        <v>568</v>
      </c>
      <c r="C264" s="10">
        <v>2021</v>
      </c>
      <c r="D264" s="237">
        <v>0.4</v>
      </c>
      <c r="E264" s="237">
        <v>1</v>
      </c>
      <c r="F264" s="237">
        <v>95</v>
      </c>
      <c r="G264" s="238">
        <v>50.343449999999997</v>
      </c>
      <c r="H264" s="238">
        <v>50.343449999999997</v>
      </c>
      <c r="I264" s="237" t="s">
        <v>569</v>
      </c>
      <c r="J264" s="237" t="s">
        <v>570</v>
      </c>
      <c r="K264" s="168" t="s">
        <v>165</v>
      </c>
      <c r="L264" s="239" t="s">
        <v>164</v>
      </c>
      <c r="M264" s="276"/>
    </row>
    <row r="265" spans="1:23" collapsed="1" x14ac:dyDescent="0.3">
      <c r="A265" s="221" t="s">
        <v>55</v>
      </c>
      <c r="B265" s="222" t="s">
        <v>266</v>
      </c>
      <c r="C265" s="10">
        <v>2021</v>
      </c>
      <c r="D265" s="223"/>
      <c r="E265" s="223">
        <v>0</v>
      </c>
      <c r="F265" s="223"/>
      <c r="G265" s="223">
        <v>0</v>
      </c>
      <c r="H265" s="223"/>
      <c r="I265" s="223"/>
      <c r="J265" s="223"/>
      <c r="K265" s="223"/>
      <c r="L265" s="225"/>
      <c r="M265" s="276"/>
    </row>
    <row r="266" spans="1:23" ht="16.2" thickBot="1" x14ac:dyDescent="0.35">
      <c r="A266" s="215"/>
      <c r="B266" s="216"/>
      <c r="C266" s="33">
        <v>2021</v>
      </c>
      <c r="D266" s="217"/>
      <c r="E266" s="217"/>
      <c r="F266" s="217"/>
      <c r="G266" s="218"/>
      <c r="H266" s="217"/>
      <c r="I266" s="217"/>
      <c r="J266" s="217"/>
      <c r="K266" s="217"/>
      <c r="L266" s="219"/>
      <c r="M266" s="276"/>
    </row>
    <row r="267" spans="1:23" s="273" customFormat="1" x14ac:dyDescent="0.3">
      <c r="A267" s="279"/>
      <c r="B267" s="280"/>
      <c r="C267" s="281"/>
      <c r="D267" s="279"/>
      <c r="E267" s="279"/>
      <c r="F267" s="279"/>
      <c r="G267" s="282"/>
      <c r="H267" s="279"/>
      <c r="I267" s="279"/>
      <c r="J267" s="279"/>
      <c r="K267" s="279"/>
      <c r="L267" s="279"/>
      <c r="M267" s="283"/>
      <c r="V267" s="284"/>
      <c r="W267" s="284"/>
    </row>
    <row r="268" spans="1:23" s="273" customFormat="1" x14ac:dyDescent="0.3">
      <c r="A268" s="279"/>
      <c r="B268" s="280"/>
      <c r="C268" s="281"/>
      <c r="D268" s="279"/>
      <c r="E268" s="279"/>
      <c r="F268" s="279"/>
      <c r="G268" s="282"/>
      <c r="H268" s="279"/>
      <c r="I268" s="279"/>
      <c r="J268" s="279"/>
      <c r="K268" s="279"/>
      <c r="L268" s="279"/>
      <c r="M268" s="283"/>
      <c r="V268" s="284"/>
      <c r="W268" s="284"/>
    </row>
    <row r="269" spans="1:23" ht="25.8" x14ac:dyDescent="0.5">
      <c r="A269" s="172"/>
      <c r="B269" s="175" t="s">
        <v>167</v>
      </c>
      <c r="C269" s="175"/>
      <c r="D269" s="176"/>
      <c r="E269" s="176"/>
      <c r="F269" s="171"/>
      <c r="G269" s="176" t="s">
        <v>168</v>
      </c>
      <c r="H269" s="171"/>
      <c r="I269" s="171"/>
      <c r="J269" s="171"/>
      <c r="K269" s="174"/>
      <c r="L269" s="165"/>
      <c r="M269" s="165"/>
    </row>
    <row r="270" spans="1:23" x14ac:dyDescent="0.3">
      <c r="B270" s="41"/>
      <c r="C270" s="1"/>
      <c r="D270" s="1"/>
      <c r="E270" s="1"/>
      <c r="F270" s="1"/>
      <c r="G270" s="1"/>
      <c r="H270" s="1"/>
      <c r="I270" s="1"/>
      <c r="J270" s="1"/>
      <c r="K270" s="48"/>
    </row>
    <row r="271" spans="1:23" x14ac:dyDescent="0.3">
      <c r="B271" s="41"/>
      <c r="C271" s="1"/>
      <c r="D271" s="1"/>
      <c r="E271" s="1"/>
      <c r="F271" s="1"/>
      <c r="G271" s="1"/>
      <c r="H271" s="1"/>
      <c r="I271" s="1"/>
      <c r="J271" s="1"/>
      <c r="K271" s="48"/>
    </row>
    <row r="272" spans="1:23" x14ac:dyDescent="0.3">
      <c r="B272" s="41"/>
      <c r="C272" s="1"/>
      <c r="D272" s="1"/>
      <c r="E272" s="1"/>
      <c r="F272" s="1"/>
      <c r="G272" s="1"/>
      <c r="H272" s="1"/>
      <c r="I272" s="1"/>
      <c r="J272" s="1"/>
      <c r="K272" s="48"/>
    </row>
    <row r="273" spans="2:11" x14ac:dyDescent="0.3">
      <c r="B273" s="41"/>
      <c r="C273" s="1"/>
      <c r="D273" s="1"/>
      <c r="E273" s="1"/>
      <c r="F273" s="1"/>
      <c r="G273" s="1"/>
      <c r="H273" s="1"/>
      <c r="I273" s="1"/>
      <c r="J273" s="1"/>
      <c r="K273" s="48"/>
    </row>
    <row r="278" spans="2:11" x14ac:dyDescent="0.3">
      <c r="E278" s="259">
        <f>E10+E40+E107+E109+E113+E115+E117+E134+E137+E140+E143+E145+E148+E151+E154+E156+E158+E160</f>
        <v>4764</v>
      </c>
      <c r="F278" s="259"/>
      <c r="G278" s="259">
        <f>G10+G40+G107+G109+G113+G115+G117+G134+G137+G140+G143+G145+G148+G151+G154+G156+G158+G160+G179+G176+G163</f>
        <v>5824.0941099999982</v>
      </c>
    </row>
    <row r="279" spans="2:11" x14ac:dyDescent="0.3">
      <c r="E279" s="259"/>
      <c r="F279" s="259"/>
      <c r="G279" s="259">
        <f>G278-G179</f>
        <v>3329.7712899999997</v>
      </c>
    </row>
    <row r="280" spans="2:11" x14ac:dyDescent="0.3">
      <c r="E280" s="146">
        <v>4759</v>
      </c>
    </row>
    <row r="281" spans="2:11" x14ac:dyDescent="0.3">
      <c r="E281" s="259">
        <f>E280-E278</f>
        <v>-5</v>
      </c>
      <c r="F281" s="259">
        <f>E280-F279</f>
        <v>4759</v>
      </c>
    </row>
    <row r="283" spans="2:11" x14ac:dyDescent="0.3">
      <c r="G283" s="146">
        <v>2945.5971599999998</v>
      </c>
    </row>
    <row r="284" spans="2:11" x14ac:dyDescent="0.3">
      <c r="G284" s="146">
        <v>124.17422000000001</v>
      </c>
      <c r="H284" s="146">
        <f>SUM(G283:G284)</f>
        <v>3069.7713799999997</v>
      </c>
    </row>
    <row r="285" spans="2:11" x14ac:dyDescent="0.3">
      <c r="G285" s="146">
        <v>260</v>
      </c>
    </row>
    <row r="286" spans="2:11" x14ac:dyDescent="0.3">
      <c r="G286" s="146">
        <f>SUM(G283:G285)</f>
        <v>3329.7713799999997</v>
      </c>
    </row>
    <row r="287" spans="2:11" x14ac:dyDescent="0.3">
      <c r="G287" s="259">
        <f>G278-G179-G286</f>
        <v>-9.0000000000145519E-5</v>
      </c>
    </row>
  </sheetData>
  <mergeCells count="6">
    <mergeCell ref="A6:L6"/>
    <mergeCell ref="A1:L1"/>
    <mergeCell ref="A2:L2"/>
    <mergeCell ref="A3:H3"/>
    <mergeCell ref="A4:L4"/>
    <mergeCell ref="A5:L5"/>
  </mergeCells>
  <phoneticPr fontId="26" type="noConversion"/>
  <dataValidations count="1">
    <dataValidation type="list" showInputMessage="1" prompt="Выберите диапазон из списка" sqref="K260:K264 K196:K197 K191 K193:K194 K199:K202 K204:K209 K182:K188 K212:K220 K224:K227 K229:K258" xr:uid="{D49CEE15-2124-4361-9B58-FA6EEA2D7C39}">
      <formula1>Диапазон</formula1>
    </dataValidation>
  </dataValidations>
  <printOptions horizontalCentered="1"/>
  <pageMargins left="0" right="0" top="0.39370078740157483" bottom="0" header="0.31496062992125984" footer="0.31496062992125984"/>
  <pageSetup paperSize="9" scale="54" fitToHeight="0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V34"/>
  <sheetViews>
    <sheetView view="pageBreakPreview" topLeftCell="A4" zoomScale="70" zoomScaleNormal="70" zoomScaleSheetLayoutView="70" workbookViewId="0">
      <selection activeCell="N18" sqref="N18"/>
    </sheetView>
  </sheetViews>
  <sheetFormatPr defaultColWidth="9.109375" defaultRowHeight="15.6" outlineLevelRow="1" outlineLevelCol="2" x14ac:dyDescent="0.3"/>
  <cols>
    <col min="1" max="1" width="10.6640625" style="1" customWidth="1"/>
    <col min="2" max="2" width="45.109375" style="1" customWidth="1"/>
    <col min="3" max="3" width="15.88671875" style="1" hidden="1" customWidth="1" outlineLevel="1"/>
    <col min="4" max="4" width="15.88671875" style="1" customWidth="1" collapsed="1"/>
    <col min="5" max="5" width="15.88671875" style="1" customWidth="1"/>
    <col min="6" max="6" width="13" style="1" bestFit="1" customWidth="1"/>
    <col min="7" max="7" width="11.88671875" style="1" hidden="1" customWidth="1" outlineLevel="1"/>
    <col min="8" max="8" width="14.6640625" style="1" customWidth="1" collapsed="1"/>
    <col min="9" max="9" width="15.33203125" style="1" customWidth="1"/>
    <col min="10" max="10" width="13.33203125" style="1" customWidth="1"/>
    <col min="11" max="11" width="13" style="1" hidden="1" customWidth="1" outlineLevel="1"/>
    <col min="12" max="12" width="13.5546875" style="1" customWidth="1" collapsed="1"/>
    <col min="13" max="13" width="13.5546875" style="1" customWidth="1"/>
    <col min="14" max="14" width="15.6640625" style="1" customWidth="1"/>
    <col min="15" max="15" width="19" style="20" hidden="1" customWidth="1" outlineLevel="2"/>
    <col min="16" max="16" width="19" style="20" customWidth="1" collapsed="1"/>
    <col min="17" max="18" width="19" style="20" customWidth="1"/>
    <col min="19" max="19" width="19.88671875" style="47" customWidth="1"/>
    <col min="20" max="20" width="19.33203125" style="47" hidden="1" customWidth="1" outlineLevel="1"/>
    <col min="21" max="21" width="15.109375" style="47" hidden="1" customWidth="1" outlineLevel="1"/>
    <col min="22" max="22" width="12.109375" style="47" customWidth="1" collapsed="1"/>
    <col min="23" max="23" width="13.44140625" style="47" customWidth="1"/>
    <col min="24" max="24" width="12.88671875" style="47" customWidth="1"/>
    <col min="25" max="26" width="9.109375" style="47" customWidth="1"/>
    <col min="27" max="29" width="9.109375" style="47"/>
    <col min="30" max="30" width="11.109375" style="47" bestFit="1" customWidth="1"/>
    <col min="31" max="16384" width="9.109375" style="47"/>
  </cols>
  <sheetData>
    <row r="1" spans="1:21" x14ac:dyDescent="0.3">
      <c r="A1" s="443" t="s">
        <v>83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88"/>
      <c r="R1" s="88"/>
    </row>
    <row r="2" spans="1:21" ht="76.5" customHeight="1" x14ac:dyDescent="0.3">
      <c r="A2" s="424" t="s">
        <v>814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88"/>
      <c r="R2" s="88"/>
    </row>
    <row r="3" spans="1:21" x14ac:dyDescent="0.3">
      <c r="A3" s="20"/>
    </row>
    <row r="4" spans="1:21" ht="63" customHeight="1" x14ac:dyDescent="0.3">
      <c r="A4" s="426" t="s">
        <v>158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89"/>
    </row>
    <row r="5" spans="1:21" ht="30" customHeight="1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ht="21" hidden="1" outlineLevel="1" x14ac:dyDescent="0.3">
      <c r="A6" s="144" t="s">
        <v>84</v>
      </c>
      <c r="B6" s="145">
        <v>1.034</v>
      </c>
      <c r="C6" s="91"/>
      <c r="D6" s="91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92"/>
    </row>
    <row r="7" spans="1:21" ht="21" hidden="1" outlineLevel="1" x14ac:dyDescent="0.3">
      <c r="A7" s="144" t="s">
        <v>85</v>
      </c>
      <c r="B7" s="145">
        <v>1.0669999999999999</v>
      </c>
      <c r="C7" s="91"/>
      <c r="D7" s="91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92"/>
    </row>
    <row r="8" spans="1:21" ht="21" hidden="1" outlineLevel="1" x14ac:dyDescent="0.3">
      <c r="A8" s="144" t="s">
        <v>86</v>
      </c>
      <c r="B8" s="145">
        <v>1.139</v>
      </c>
      <c r="C8" s="91"/>
      <c r="D8" s="91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92"/>
    </row>
    <row r="9" spans="1:21" ht="21" hidden="1" outlineLevel="1" x14ac:dyDescent="0.3">
      <c r="A9" s="144" t="s">
        <v>582</v>
      </c>
      <c r="B9" s="145">
        <v>1.06</v>
      </c>
      <c r="E9" s="439"/>
      <c r="F9" s="439"/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439"/>
      <c r="R9" s="439"/>
      <c r="S9" s="439"/>
      <c r="T9" s="92"/>
    </row>
    <row r="10" spans="1:21" hidden="1" outlineLevel="1" x14ac:dyDescent="0.3">
      <c r="A10" s="2"/>
      <c r="B10" s="93"/>
      <c r="O10" s="1"/>
      <c r="P10" s="1"/>
      <c r="Q10" s="1"/>
      <c r="R10" s="1"/>
      <c r="S10" s="20"/>
      <c r="T10" s="20"/>
    </row>
    <row r="11" spans="1:21" ht="16.2" collapsed="1" thickBot="1" x14ac:dyDescent="0.35">
      <c r="A11" s="94"/>
      <c r="B11" s="90"/>
      <c r="O11" s="1"/>
      <c r="P11" s="1"/>
      <c r="Q11" s="1"/>
      <c r="R11" s="1"/>
      <c r="S11" s="20"/>
      <c r="T11" s="20"/>
    </row>
    <row r="12" spans="1:21" ht="20.25" customHeight="1" thickBot="1" x14ac:dyDescent="0.35">
      <c r="A12" s="435" t="s">
        <v>87</v>
      </c>
      <c r="B12" s="437" t="s">
        <v>88</v>
      </c>
      <c r="C12" s="95"/>
      <c r="D12" s="433" t="s">
        <v>89</v>
      </c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96"/>
      <c r="P12" s="96"/>
      <c r="Q12" s="96"/>
      <c r="R12" s="97"/>
      <c r="S12" s="441" t="s">
        <v>90</v>
      </c>
      <c r="T12" s="476" t="s">
        <v>578</v>
      </c>
      <c r="U12" s="428"/>
    </row>
    <row r="13" spans="1:21" ht="64.5" customHeight="1" thickBot="1" x14ac:dyDescent="0.35">
      <c r="A13" s="440"/>
      <c r="B13" s="438"/>
      <c r="C13" s="457" t="s">
        <v>91</v>
      </c>
      <c r="D13" s="458"/>
      <c r="E13" s="459"/>
      <c r="F13" s="460"/>
      <c r="G13" s="430" t="s">
        <v>92</v>
      </c>
      <c r="H13" s="430"/>
      <c r="I13" s="431"/>
      <c r="J13" s="462"/>
      <c r="K13" s="467" t="s">
        <v>93</v>
      </c>
      <c r="L13" s="468"/>
      <c r="M13" s="469"/>
      <c r="N13" s="470"/>
      <c r="O13" s="466"/>
      <c r="P13" s="432" t="s">
        <v>94</v>
      </c>
      <c r="Q13" s="433"/>
      <c r="R13" s="434"/>
      <c r="S13" s="442"/>
      <c r="T13" s="477"/>
      <c r="U13" s="429"/>
    </row>
    <row r="14" spans="1:21" ht="28.8" customHeight="1" thickBot="1" x14ac:dyDescent="0.35">
      <c r="A14" s="435">
        <v>1</v>
      </c>
      <c r="B14" s="437">
        <v>2</v>
      </c>
      <c r="C14" s="413"/>
      <c r="D14" s="136" t="s">
        <v>95</v>
      </c>
      <c r="E14" s="6" t="s">
        <v>96</v>
      </c>
      <c r="F14" s="7" t="s">
        <v>97</v>
      </c>
      <c r="G14" s="415"/>
      <c r="H14" s="136" t="s">
        <v>98</v>
      </c>
      <c r="I14" s="6" t="s">
        <v>99</v>
      </c>
      <c r="J14" s="163" t="s">
        <v>100</v>
      </c>
      <c r="K14" s="419"/>
      <c r="L14" s="136" t="s">
        <v>101</v>
      </c>
      <c r="M14" s="6" t="s">
        <v>102</v>
      </c>
      <c r="N14" s="7" t="s">
        <v>103</v>
      </c>
      <c r="O14" s="415"/>
      <c r="P14" s="136" t="s">
        <v>104</v>
      </c>
      <c r="Q14" s="6" t="s">
        <v>105</v>
      </c>
      <c r="R14" s="7" t="s">
        <v>106</v>
      </c>
      <c r="S14" s="442"/>
      <c r="T14" s="477"/>
      <c r="U14" s="429"/>
    </row>
    <row r="15" spans="1:21" ht="31.8" thickBot="1" x14ac:dyDescent="0.35">
      <c r="A15" s="436"/>
      <c r="B15" s="438"/>
      <c r="C15" s="414">
        <v>2018</v>
      </c>
      <c r="D15" s="416">
        <v>2019</v>
      </c>
      <c r="E15" s="417">
        <v>2020</v>
      </c>
      <c r="F15" s="418">
        <v>2021</v>
      </c>
      <c r="G15" s="422">
        <v>2018</v>
      </c>
      <c r="H15" s="416">
        <v>2019</v>
      </c>
      <c r="I15" s="417">
        <v>2020</v>
      </c>
      <c r="J15" s="481">
        <v>2021</v>
      </c>
      <c r="K15" s="421">
        <v>2018</v>
      </c>
      <c r="L15" s="416">
        <v>2019</v>
      </c>
      <c r="M15" s="417">
        <v>2020</v>
      </c>
      <c r="N15" s="418">
        <v>2021</v>
      </c>
      <c r="O15" s="422">
        <v>2018</v>
      </c>
      <c r="P15" s="416">
        <v>2019</v>
      </c>
      <c r="Q15" s="417">
        <v>2020</v>
      </c>
      <c r="R15" s="418">
        <v>2021</v>
      </c>
      <c r="S15" s="446"/>
      <c r="T15" s="420" t="s">
        <v>107</v>
      </c>
      <c r="U15" s="3" t="s">
        <v>108</v>
      </c>
    </row>
    <row r="16" spans="1:21" ht="31.8" thickBot="1" x14ac:dyDescent="0.35">
      <c r="A16" s="98" t="s">
        <v>15</v>
      </c>
      <c r="B16" s="99" t="s">
        <v>109</v>
      </c>
      <c r="C16" s="100"/>
      <c r="D16" s="101">
        <f>'Прил. 3'!E10</f>
        <v>617.98700000000008</v>
      </c>
      <c r="E16" s="102">
        <f>'Прил. 3'!D10</f>
        <v>438.38</v>
      </c>
      <c r="F16" s="103">
        <f>'Прил. 3'!C10</f>
        <v>666.18000000000006</v>
      </c>
      <c r="G16" s="104"/>
      <c r="H16" s="105">
        <v>82</v>
      </c>
      <c r="I16" s="106">
        <v>55</v>
      </c>
      <c r="J16" s="463">
        <v>89</v>
      </c>
      <c r="K16" s="100"/>
      <c r="L16" s="105">
        <f>L17</f>
        <v>2403</v>
      </c>
      <c r="M16" s="106">
        <v>1088</v>
      </c>
      <c r="N16" s="164">
        <f>899.02+1122.6</f>
        <v>2021.62</v>
      </c>
      <c r="O16" s="104" t="e">
        <f t="shared" ref="O16:R17" si="0">C16/G16*1000</f>
        <v>#DIV/0!</v>
      </c>
      <c r="P16" s="101">
        <f t="shared" si="0"/>
        <v>7536.4268292682937</v>
      </c>
      <c r="Q16" s="102">
        <f t="shared" si="0"/>
        <v>7970.545454545454</v>
      </c>
      <c r="R16" s="103">
        <f t="shared" si="0"/>
        <v>7485.1685393258431</v>
      </c>
      <c r="S16" s="108">
        <f>(P16*$B$6*$B$7+Q16*$B$7+R16)/3*$B$8*$B$9</f>
        <v>9781.2708288424619</v>
      </c>
      <c r="T16" s="107">
        <v>8923.52</v>
      </c>
      <c r="U16" s="108"/>
    </row>
    <row r="17" spans="1:21" ht="31.8" thickBot="1" x14ac:dyDescent="0.35">
      <c r="A17" s="122" t="s">
        <v>24</v>
      </c>
      <c r="B17" s="99" t="s">
        <v>111</v>
      </c>
      <c r="C17" s="100"/>
      <c r="D17" s="287">
        <f>D18+D19</f>
        <v>1615.3969999999999</v>
      </c>
      <c r="E17" s="288">
        <f>E18+E19</f>
        <v>1142.6199999999999</v>
      </c>
      <c r="F17" s="449">
        <f>F18+F19</f>
        <v>1425.7499999999998</v>
      </c>
      <c r="G17" s="450">
        <f>G18+G19</f>
        <v>1615.3969999999999</v>
      </c>
      <c r="H17" s="451">
        <v>82</v>
      </c>
      <c r="I17" s="452">
        <v>55</v>
      </c>
      <c r="J17" s="464">
        <v>89</v>
      </c>
      <c r="K17" s="471"/>
      <c r="L17" s="451">
        <v>2403</v>
      </c>
      <c r="M17" s="452">
        <v>882</v>
      </c>
      <c r="N17" s="453">
        <v>2021.6</v>
      </c>
      <c r="O17" s="454">
        <f>C17/G17*1000</f>
        <v>0</v>
      </c>
      <c r="P17" s="287">
        <f t="shared" si="0"/>
        <v>19699.963414634145</v>
      </c>
      <c r="Q17" s="288">
        <f t="shared" si="0"/>
        <v>20774.909090909088</v>
      </c>
      <c r="R17" s="449">
        <f t="shared" si="0"/>
        <v>16019.662921348314</v>
      </c>
      <c r="S17" s="478">
        <f t="shared" ref="S17" si="1">(P17*$B$6*$B$7+Q17*$B$7+R17)/3*$B$8*$B$9</f>
        <v>24115.017642786348</v>
      </c>
      <c r="T17" s="107"/>
      <c r="U17" s="108"/>
    </row>
    <row r="18" spans="1:21" ht="133.5" customHeight="1" thickBot="1" x14ac:dyDescent="0.35">
      <c r="A18" s="122" t="s">
        <v>112</v>
      </c>
      <c r="B18" s="99" t="s">
        <v>113</v>
      </c>
      <c r="C18" s="100"/>
      <c r="D18" s="472">
        <f>'Прил. 3'!H10</f>
        <v>0</v>
      </c>
      <c r="E18" s="9">
        <f>'Прил. 3'!G10</f>
        <v>0</v>
      </c>
      <c r="F18" s="461">
        <f>'Прил. 3'!F10</f>
        <v>0</v>
      </c>
      <c r="G18" s="392">
        <f>'Прил. 3'!K10</f>
        <v>1615.3969999999999</v>
      </c>
      <c r="H18" s="9">
        <f>'Прил. 3'!J10</f>
        <v>1142.6199999999999</v>
      </c>
      <c r="I18" s="9">
        <f>'Прил. 3'!I10</f>
        <v>1425.7499999999998</v>
      </c>
      <c r="J18" s="465">
        <f>'Прил. 3'!N10</f>
        <v>0</v>
      </c>
      <c r="K18" s="472">
        <f>'Прил. 3'!M10</f>
        <v>0</v>
      </c>
      <c r="L18" s="9">
        <f>'Прил. 3'!L10</f>
        <v>0</v>
      </c>
      <c r="M18" s="9">
        <f>'Прил. 3'!Q10</f>
        <v>0</v>
      </c>
      <c r="N18" s="461">
        <f>'Прил. 3'!P10</f>
        <v>0</v>
      </c>
      <c r="O18" s="392">
        <f>'Прил. 3'!O10</f>
        <v>0</v>
      </c>
      <c r="P18" s="9">
        <f>'Прил. 3'!T10</f>
        <v>0</v>
      </c>
      <c r="Q18" s="9">
        <f>'Прил. 3'!S10</f>
        <v>0</v>
      </c>
      <c r="R18" s="461">
        <f>'Прил. 3'!R10</f>
        <v>0</v>
      </c>
      <c r="S18" s="479">
        <f>'Прил. 3'!W10</f>
        <v>0</v>
      </c>
      <c r="T18" s="107"/>
      <c r="U18" s="108" t="s">
        <v>110</v>
      </c>
    </row>
    <row r="19" spans="1:21" ht="109.8" thickBot="1" x14ac:dyDescent="0.35">
      <c r="A19" s="98" t="s">
        <v>114</v>
      </c>
      <c r="B19" s="305" t="s">
        <v>115</v>
      </c>
      <c r="C19" s="100"/>
      <c r="D19" s="125">
        <f>'Прил. 3'!K10</f>
        <v>1615.3969999999999</v>
      </c>
      <c r="E19" s="34">
        <f>'Прил. 3'!J10</f>
        <v>1142.6199999999999</v>
      </c>
      <c r="F19" s="126">
        <f>'Прил. 3'!I10</f>
        <v>1425.7499999999998</v>
      </c>
      <c r="G19" s="473"/>
      <c r="H19" s="118">
        <v>82</v>
      </c>
      <c r="I19" s="474">
        <v>55</v>
      </c>
      <c r="J19" s="475">
        <v>89</v>
      </c>
      <c r="K19" s="125"/>
      <c r="L19" s="118">
        <f>L16</f>
        <v>2403</v>
      </c>
      <c r="M19" s="118">
        <f t="shared" ref="M19:N19" si="2">M16</f>
        <v>1088</v>
      </c>
      <c r="N19" s="119">
        <f t="shared" si="2"/>
        <v>2021.62</v>
      </c>
      <c r="O19" s="473"/>
      <c r="P19" s="34">
        <f t="shared" ref="P19:Q19" si="3">D19/H19*1000</f>
        <v>19699.963414634145</v>
      </c>
      <c r="Q19" s="34">
        <f t="shared" si="3"/>
        <v>20774.909090909088</v>
      </c>
      <c r="R19" s="126">
        <f>F19/J19*1000</f>
        <v>16019.662921348314</v>
      </c>
      <c r="S19" s="480">
        <f>(P19*$B$6*$B$7+Q19*$B$7+R19)/COUNT(P19:R19)*$B$8*$B$9</f>
        <v>24115.017642786348</v>
      </c>
      <c r="T19" s="107">
        <v>20458.16</v>
      </c>
      <c r="U19" s="108" t="s">
        <v>110</v>
      </c>
    </row>
    <row r="20" spans="1:21" ht="16.2" hidden="1" outlineLevel="1" thickBot="1" x14ac:dyDescent="0.35">
      <c r="A20" s="304"/>
      <c r="B20" s="305" t="s">
        <v>579</v>
      </c>
      <c r="C20" s="115"/>
      <c r="D20" s="109"/>
      <c r="E20" s="18"/>
      <c r="F20" s="110"/>
      <c r="G20" s="111"/>
      <c r="H20" s="112"/>
      <c r="I20" s="113"/>
      <c r="J20" s="114">
        <f>76-12</f>
        <v>64</v>
      </c>
      <c r="K20" s="111"/>
      <c r="L20" s="112"/>
      <c r="M20" s="113"/>
      <c r="N20" s="114"/>
      <c r="O20" s="115"/>
      <c r="P20" s="455"/>
      <c r="Q20" s="39"/>
      <c r="R20" s="110">
        <f t="shared" ref="R20:R21" si="4">F20/J20*1000</f>
        <v>0</v>
      </c>
      <c r="S20" s="456"/>
      <c r="T20" s="123"/>
      <c r="U20" s="124"/>
    </row>
    <row r="21" spans="1:21" ht="16.2" hidden="1" outlineLevel="1" thickBot="1" x14ac:dyDescent="0.35">
      <c r="A21" s="142"/>
      <c r="B21" s="305" t="s">
        <v>580</v>
      </c>
      <c r="C21" s="121"/>
      <c r="D21" s="125"/>
      <c r="E21" s="34"/>
      <c r="F21" s="126"/>
      <c r="G21" s="116"/>
      <c r="H21" s="117"/>
      <c r="I21" s="118"/>
      <c r="J21" s="119">
        <v>12</v>
      </c>
      <c r="K21" s="120"/>
      <c r="L21" s="117"/>
      <c r="M21" s="118"/>
      <c r="N21" s="119"/>
      <c r="O21" s="121"/>
      <c r="P21" s="125"/>
      <c r="Q21" s="34"/>
      <c r="R21" s="289">
        <f t="shared" si="4"/>
        <v>0</v>
      </c>
      <c r="S21" s="128"/>
      <c r="T21" s="129"/>
      <c r="U21" s="130"/>
    </row>
    <row r="22" spans="1:21" ht="16.2" hidden="1" outlineLevel="1" thickBot="1" x14ac:dyDescent="0.35">
      <c r="A22" s="291"/>
      <c r="B22" s="99" t="s">
        <v>581</v>
      </c>
      <c r="C22" s="44"/>
      <c r="D22" s="292"/>
      <c r="E22" s="293"/>
      <c r="F22" s="289"/>
      <c r="G22" s="132"/>
      <c r="H22" s="294"/>
      <c r="I22" s="295"/>
      <c r="J22" s="296"/>
      <c r="K22" s="297"/>
      <c r="L22" s="294"/>
      <c r="M22" s="295"/>
      <c r="N22" s="296"/>
      <c r="O22" s="44"/>
      <c r="P22" s="298"/>
      <c r="Q22" s="299"/>
      <c r="R22" s="300"/>
      <c r="S22" s="301"/>
      <c r="T22" s="302"/>
      <c r="U22" s="303"/>
    </row>
    <row r="23" spans="1:21" ht="16.2" hidden="1" outlineLevel="1" thickBot="1" x14ac:dyDescent="0.35">
      <c r="A23" s="142"/>
      <c r="B23" s="306"/>
      <c r="C23" s="127"/>
      <c r="D23" s="125"/>
      <c r="E23" s="34"/>
      <c r="F23" s="126"/>
      <c r="G23" s="120"/>
      <c r="H23" s="117"/>
      <c r="I23" s="118"/>
      <c r="J23" s="119"/>
      <c r="K23" s="120"/>
      <c r="L23" s="117"/>
      <c r="M23" s="118"/>
      <c r="N23" s="119"/>
      <c r="O23" s="127"/>
      <c r="P23" s="125"/>
      <c r="Q23" s="34"/>
      <c r="R23" s="126"/>
      <c r="S23" s="128"/>
      <c r="T23" s="129"/>
      <c r="U23" s="130"/>
    </row>
    <row r="24" spans="1:21" collapsed="1" x14ac:dyDescent="0.3">
      <c r="A24" s="43"/>
      <c r="B24" s="131"/>
      <c r="C24" s="44"/>
      <c r="D24" s="44"/>
      <c r="E24" s="44"/>
      <c r="F24" s="44"/>
      <c r="G24" s="132"/>
      <c r="H24" s="132"/>
      <c r="I24" s="132"/>
      <c r="J24" s="132"/>
      <c r="K24" s="132"/>
      <c r="L24" s="132"/>
      <c r="M24" s="132"/>
      <c r="N24" s="132"/>
      <c r="O24" s="44"/>
      <c r="P24" s="44"/>
      <c r="Q24" s="44"/>
      <c r="R24" s="44"/>
      <c r="S24" s="133"/>
      <c r="T24" s="133"/>
    </row>
    <row r="25" spans="1:21" x14ac:dyDescent="0.3">
      <c r="A25" s="1" t="s">
        <v>116</v>
      </c>
      <c r="O25" s="1"/>
      <c r="P25" s="1"/>
      <c r="Q25" s="1"/>
      <c r="R25" s="1"/>
      <c r="S25" s="20"/>
      <c r="T25" s="20"/>
    </row>
    <row r="26" spans="1:21" x14ac:dyDescent="0.3">
      <c r="O26" s="1"/>
      <c r="P26" s="1"/>
      <c r="Q26" s="1"/>
      <c r="R26" s="1"/>
      <c r="S26" s="20"/>
      <c r="T26" s="20"/>
    </row>
    <row r="27" spans="1:21" x14ac:dyDescent="0.3">
      <c r="O27" s="1"/>
      <c r="P27" s="1"/>
      <c r="Q27" s="1"/>
      <c r="R27" s="1"/>
      <c r="S27" s="20"/>
      <c r="T27" s="20"/>
    </row>
    <row r="28" spans="1:21" s="1" customFormat="1" ht="21" x14ac:dyDescent="0.3">
      <c r="B28" s="49" t="s">
        <v>571</v>
      </c>
      <c r="C28" s="49" t="s">
        <v>571</v>
      </c>
      <c r="D28" s="49"/>
      <c r="E28" s="49"/>
      <c r="F28" s="49"/>
      <c r="G28" s="49"/>
      <c r="I28" s="49"/>
      <c r="J28" s="49"/>
      <c r="K28" s="49"/>
      <c r="L28" s="49"/>
      <c r="M28" s="49"/>
      <c r="N28" s="49"/>
      <c r="O28" s="49"/>
      <c r="R28" s="49" t="s">
        <v>168</v>
      </c>
    </row>
    <row r="29" spans="1:21" x14ac:dyDescent="0.3">
      <c r="B29" s="41"/>
      <c r="M29" s="48"/>
      <c r="O29" s="1"/>
      <c r="P29" s="1"/>
      <c r="Q29" s="1"/>
      <c r="R29" s="1"/>
      <c r="S29" s="20"/>
      <c r="T29" s="20"/>
    </row>
    <row r="30" spans="1:21" x14ac:dyDescent="0.3">
      <c r="B30" s="41"/>
      <c r="M30" s="48"/>
      <c r="O30" s="1"/>
      <c r="P30" s="1"/>
      <c r="Q30" s="1"/>
      <c r="R30" s="1"/>
      <c r="S30" s="20"/>
      <c r="T30" s="20"/>
    </row>
    <row r="31" spans="1:21" ht="21" x14ac:dyDescent="0.3"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  <c r="S31" s="20"/>
      <c r="T31" s="20"/>
    </row>
    <row r="32" spans="1:21" x14ac:dyDescent="0.3">
      <c r="O32" s="1"/>
      <c r="P32" s="1"/>
      <c r="Q32" s="1"/>
      <c r="R32" s="1"/>
      <c r="S32" s="20"/>
      <c r="T32" s="20"/>
    </row>
    <row r="34" spans="4:20" x14ac:dyDescent="0.3">
      <c r="D34" s="290">
        <f>D16+D18+D19</f>
        <v>2233.384</v>
      </c>
      <c r="E34" s="290">
        <f>E16+E18+E19</f>
        <v>1581</v>
      </c>
      <c r="F34" s="290">
        <f>F16+F18+F19</f>
        <v>2091.9299999999998</v>
      </c>
      <c r="G34" s="290">
        <f>G16+G18+G19</f>
        <v>1615.3969999999999</v>
      </c>
      <c r="H34" s="290"/>
      <c r="I34" s="290"/>
      <c r="J34" s="290"/>
      <c r="K34" s="290">
        <f>K16+K18+K19</f>
        <v>0</v>
      </c>
      <c r="L34" s="290"/>
      <c r="M34" s="290"/>
      <c r="N34" s="290"/>
      <c r="O34" s="290" t="e">
        <f>O16+O18+O19</f>
        <v>#DIV/0!</v>
      </c>
      <c r="P34" s="290"/>
      <c r="Q34" s="290"/>
      <c r="R34" s="290"/>
      <c r="S34" s="290"/>
      <c r="T34" s="290"/>
    </row>
  </sheetData>
  <mergeCells count="19">
    <mergeCell ref="E8:S8"/>
    <mergeCell ref="A1:P1"/>
    <mergeCell ref="A2:P2"/>
    <mergeCell ref="A4:S4"/>
    <mergeCell ref="E6:S6"/>
    <mergeCell ref="E7:S7"/>
    <mergeCell ref="A14:A15"/>
    <mergeCell ref="B14:B15"/>
    <mergeCell ref="E9:S9"/>
    <mergeCell ref="A12:A13"/>
    <mergeCell ref="B12:B13"/>
    <mergeCell ref="D12:N12"/>
    <mergeCell ref="S12:S15"/>
    <mergeCell ref="B31:R31"/>
    <mergeCell ref="T12:U14"/>
    <mergeCell ref="C13:F13"/>
    <mergeCell ref="G13:J13"/>
    <mergeCell ref="K13:N13"/>
    <mergeCell ref="P13:R1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1" orientation="landscape" r:id="rId1"/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V61"/>
  <sheetViews>
    <sheetView tabSelected="1" view="pageBreakPreview" topLeftCell="C16" zoomScale="70" zoomScaleNormal="60" zoomScaleSheetLayoutView="70" workbookViewId="0">
      <selection activeCell="M10" sqref="M10:S28"/>
    </sheetView>
  </sheetViews>
  <sheetFormatPr defaultColWidth="9.109375" defaultRowHeight="15.6" x14ac:dyDescent="0.3"/>
  <cols>
    <col min="1" max="1" width="8.109375" style="1" customWidth="1"/>
    <col min="2" max="2" width="46" style="1" customWidth="1"/>
    <col min="3" max="11" width="32.6640625" style="1" customWidth="1"/>
    <col min="12" max="12" width="9.109375" style="1"/>
    <col min="13" max="18" width="18.33203125" style="1" customWidth="1"/>
    <col min="19" max="19" width="11" style="1" bestFit="1" customWidth="1"/>
    <col min="20" max="21" width="12.44140625" style="1" bestFit="1" customWidth="1"/>
    <col min="22" max="16384" width="9.109375" style="1"/>
  </cols>
  <sheetData>
    <row r="1" spans="1:22" x14ac:dyDescent="0.3">
      <c r="A1" s="443" t="s">
        <v>117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1"/>
    </row>
    <row r="2" spans="1:22" ht="67.5" customHeight="1" x14ac:dyDescent="0.3">
      <c r="A2" s="424" t="s">
        <v>814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84"/>
    </row>
    <row r="3" spans="1:22" ht="66" customHeight="1" x14ac:dyDescent="0.3">
      <c r="A3" s="134"/>
    </row>
    <row r="4" spans="1:22" ht="21" x14ac:dyDescent="0.3">
      <c r="A4" s="444" t="s">
        <v>118</v>
      </c>
      <c r="B4" s="444"/>
      <c r="C4" s="444"/>
      <c r="D4" s="444"/>
      <c r="E4" s="444"/>
      <c r="F4" s="444"/>
      <c r="G4" s="444"/>
      <c r="H4" s="444"/>
      <c r="I4" s="444"/>
      <c r="J4" s="444"/>
      <c r="K4" s="444"/>
    </row>
    <row r="5" spans="1:22" ht="63.75" customHeight="1" x14ac:dyDescent="0.3">
      <c r="A5" s="426" t="s">
        <v>119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</row>
    <row r="6" spans="1:22" ht="16.2" thickBot="1" x14ac:dyDescent="0.35">
      <c r="A6" s="445"/>
      <c r="B6" s="445"/>
      <c r="C6" s="445"/>
      <c r="D6" s="445"/>
      <c r="E6" s="445"/>
      <c r="F6" s="135"/>
      <c r="G6" s="135"/>
      <c r="H6" s="135"/>
      <c r="I6" s="135"/>
      <c r="J6" s="135"/>
      <c r="K6" s="135"/>
    </row>
    <row r="7" spans="1:22" ht="94.5" customHeight="1" thickBot="1" x14ac:dyDescent="0.35">
      <c r="A7" s="441" t="s">
        <v>87</v>
      </c>
      <c r="B7" s="441" t="s">
        <v>120</v>
      </c>
      <c r="C7" s="136" t="s">
        <v>160</v>
      </c>
      <c r="D7" s="3" t="s">
        <v>161</v>
      </c>
      <c r="E7" s="5" t="s">
        <v>162</v>
      </c>
      <c r="F7" s="136" t="s">
        <v>160</v>
      </c>
      <c r="G7" s="3" t="s">
        <v>161</v>
      </c>
      <c r="H7" s="5" t="s">
        <v>162</v>
      </c>
      <c r="I7" s="136" t="s">
        <v>160</v>
      </c>
      <c r="J7" s="3" t="s">
        <v>161</v>
      </c>
      <c r="K7" s="5" t="s">
        <v>162</v>
      </c>
    </row>
    <row r="8" spans="1:22" ht="54" customHeight="1" thickBot="1" x14ac:dyDescent="0.35">
      <c r="A8" s="446"/>
      <c r="B8" s="446"/>
      <c r="C8" s="447" t="s">
        <v>109</v>
      </c>
      <c r="D8" s="448"/>
      <c r="E8" s="448"/>
      <c r="F8" s="447" t="s">
        <v>113</v>
      </c>
      <c r="G8" s="448"/>
      <c r="H8" s="448"/>
      <c r="I8" s="447" t="s">
        <v>115</v>
      </c>
      <c r="J8" s="448"/>
      <c r="K8" s="448"/>
    </row>
    <row r="9" spans="1:22" ht="16.2" thickBot="1" x14ac:dyDescent="0.35">
      <c r="A9" s="86">
        <v>1</v>
      </c>
      <c r="B9" s="3">
        <v>2</v>
      </c>
      <c r="C9" s="86">
        <v>3</v>
      </c>
      <c r="D9" s="3">
        <v>4</v>
      </c>
      <c r="E9" s="5">
        <v>5</v>
      </c>
      <c r="F9" s="147">
        <v>6</v>
      </c>
      <c r="G9" s="163">
        <v>7</v>
      </c>
      <c r="H9" s="7">
        <v>8</v>
      </c>
      <c r="I9" s="147">
        <v>9</v>
      </c>
      <c r="J9" s="3">
        <v>10</v>
      </c>
      <c r="K9" s="3">
        <v>11</v>
      </c>
    </row>
    <row r="10" spans="1:22" ht="31.2" x14ac:dyDescent="0.3">
      <c r="A10" s="137" t="s">
        <v>15</v>
      </c>
      <c r="B10" s="138" t="s">
        <v>121</v>
      </c>
      <c r="C10" s="409">
        <f t="shared" ref="C10:E10" si="0">C11+C12+C13+C14+C15+C24</f>
        <v>666.18000000000006</v>
      </c>
      <c r="D10" s="153">
        <f>D11+D12+D13+D14+D15+D24</f>
        <v>438.38</v>
      </c>
      <c r="E10" s="153">
        <f t="shared" si="0"/>
        <v>617.98700000000008</v>
      </c>
      <c r="F10" s="153">
        <v>0</v>
      </c>
      <c r="G10" s="153">
        <v>0</v>
      </c>
      <c r="H10" s="153">
        <v>0</v>
      </c>
      <c r="I10" s="409">
        <f t="shared" ref="I10:K10" si="1">I11+I12+I13+I14+I15+I24</f>
        <v>1425.7499999999998</v>
      </c>
      <c r="J10" s="153">
        <f t="shared" si="1"/>
        <v>1142.6199999999999</v>
      </c>
      <c r="K10" s="153">
        <f t="shared" si="1"/>
        <v>1615.3969999999999</v>
      </c>
      <c r="M10" s="8"/>
      <c r="N10" s="8"/>
      <c r="O10" s="8"/>
      <c r="Q10" s="148"/>
      <c r="R10" s="148"/>
      <c r="S10" s="148"/>
    </row>
    <row r="11" spans="1:22" x14ac:dyDescent="0.3">
      <c r="A11" s="85" t="s">
        <v>122</v>
      </c>
      <c r="B11" s="139" t="s">
        <v>123</v>
      </c>
      <c r="C11" s="410">
        <v>0</v>
      </c>
      <c r="D11" s="154">
        <v>55.88</v>
      </c>
      <c r="E11" s="154">
        <v>70.75</v>
      </c>
      <c r="F11" s="153">
        <v>0</v>
      </c>
      <c r="G11" s="153">
        <v>0</v>
      </c>
      <c r="H11" s="153">
        <v>0</v>
      </c>
      <c r="I11" s="410">
        <v>0</v>
      </c>
      <c r="J11" s="160">
        <v>88.85</v>
      </c>
      <c r="K11" s="160">
        <v>132.16</v>
      </c>
      <c r="M11" s="8"/>
      <c r="N11" s="8"/>
      <c r="O11" s="8"/>
      <c r="Q11" s="149"/>
      <c r="R11" s="157"/>
      <c r="S11" s="157"/>
    </row>
    <row r="12" spans="1:22" x14ac:dyDescent="0.3">
      <c r="A12" s="85" t="s">
        <v>124</v>
      </c>
      <c r="B12" s="139" t="s">
        <v>125</v>
      </c>
      <c r="C12" s="410">
        <v>17.27</v>
      </c>
      <c r="D12" s="154">
        <v>3.71</v>
      </c>
      <c r="E12" s="154">
        <v>4.0199999999999996</v>
      </c>
      <c r="F12" s="153">
        <v>0</v>
      </c>
      <c r="G12" s="153">
        <v>0</v>
      </c>
      <c r="H12" s="153">
        <v>0</v>
      </c>
      <c r="I12" s="410">
        <v>21.12</v>
      </c>
      <c r="J12" s="160">
        <v>5.89</v>
      </c>
      <c r="K12" s="160">
        <v>7.5</v>
      </c>
      <c r="M12" s="8"/>
      <c r="N12" s="8"/>
      <c r="O12" s="8"/>
      <c r="P12" s="8"/>
      <c r="Q12" s="149"/>
      <c r="R12" s="157"/>
      <c r="S12" s="157"/>
      <c r="T12" s="8"/>
      <c r="U12" s="8"/>
      <c r="V12" s="8"/>
    </row>
    <row r="13" spans="1:22" x14ac:dyDescent="0.3">
      <c r="A13" s="85" t="s">
        <v>126</v>
      </c>
      <c r="B13" s="139" t="s">
        <v>127</v>
      </c>
      <c r="C13" s="410">
        <v>465.97</v>
      </c>
      <c r="D13" s="154">
        <v>254.87</v>
      </c>
      <c r="E13" s="154">
        <v>363.25200000000001</v>
      </c>
      <c r="F13" s="153">
        <v>0</v>
      </c>
      <c r="G13" s="153">
        <v>0</v>
      </c>
      <c r="H13" s="153">
        <v>0</v>
      </c>
      <c r="I13" s="410">
        <v>837.5</v>
      </c>
      <c r="J13" s="160">
        <v>746.89</v>
      </c>
      <c r="K13" s="160">
        <v>1032.038</v>
      </c>
      <c r="M13" s="8"/>
      <c r="N13" s="8"/>
      <c r="O13" s="8"/>
      <c r="Q13" s="149"/>
      <c r="R13" s="157"/>
      <c r="S13" s="157"/>
    </row>
    <row r="14" spans="1:22" x14ac:dyDescent="0.3">
      <c r="A14" s="85" t="s">
        <v>128</v>
      </c>
      <c r="B14" s="139" t="s">
        <v>129</v>
      </c>
      <c r="C14" s="410">
        <v>141.75</v>
      </c>
      <c r="D14" s="154">
        <v>77.53</v>
      </c>
      <c r="E14" s="154">
        <v>110.501</v>
      </c>
      <c r="F14" s="153">
        <v>0</v>
      </c>
      <c r="G14" s="153">
        <v>0</v>
      </c>
      <c r="H14" s="153">
        <v>0</v>
      </c>
      <c r="I14" s="410">
        <v>252.65</v>
      </c>
      <c r="J14" s="160">
        <v>227.22</v>
      </c>
      <c r="K14" s="160">
        <v>313.94899999999996</v>
      </c>
      <c r="M14" s="8"/>
      <c r="N14" s="8"/>
      <c r="O14" s="8"/>
      <c r="Q14" s="149"/>
      <c r="R14" s="157"/>
      <c r="S14" s="157"/>
    </row>
    <row r="15" spans="1:22" x14ac:dyDescent="0.3">
      <c r="A15" s="85" t="s">
        <v>130</v>
      </c>
      <c r="B15" s="139" t="s">
        <v>131</v>
      </c>
      <c r="C15" s="410">
        <f>C16+C17++C18</f>
        <v>30.07</v>
      </c>
      <c r="D15" s="154">
        <f>D16+D17+D18</f>
        <v>42.489999999999995</v>
      </c>
      <c r="E15" s="154">
        <f t="shared" ref="E15" si="2">E16+E17++E18</f>
        <v>53.77399999999998</v>
      </c>
      <c r="F15" s="153">
        <v>0</v>
      </c>
      <c r="G15" s="153">
        <v>0</v>
      </c>
      <c r="H15" s="153">
        <v>0</v>
      </c>
      <c r="I15" s="410">
        <f t="shared" ref="I15" si="3">I16+I17++I18</f>
        <v>300.89</v>
      </c>
      <c r="J15" s="154">
        <f t="shared" ref="J15:K15" si="4">J16+J17++J18</f>
        <v>67.569999999999993</v>
      </c>
      <c r="K15" s="154">
        <f t="shared" si="4"/>
        <v>100.44</v>
      </c>
      <c r="M15" s="8"/>
      <c r="N15" s="8"/>
      <c r="O15" s="8"/>
      <c r="P15" s="8"/>
      <c r="Q15" s="150"/>
      <c r="R15" s="150"/>
      <c r="S15" s="150"/>
      <c r="T15" s="8"/>
      <c r="U15" s="8"/>
    </row>
    <row r="16" spans="1:22" ht="31.2" x14ac:dyDescent="0.3">
      <c r="A16" s="85" t="s">
        <v>132</v>
      </c>
      <c r="B16" s="140" t="s">
        <v>133</v>
      </c>
      <c r="C16" s="410">
        <v>5.47</v>
      </c>
      <c r="D16" s="154">
        <v>13.39</v>
      </c>
      <c r="E16" s="154">
        <v>13.92</v>
      </c>
      <c r="F16" s="153">
        <v>0</v>
      </c>
      <c r="G16" s="153">
        <v>0</v>
      </c>
      <c r="H16" s="153">
        <v>0</v>
      </c>
      <c r="I16" s="410">
        <v>6.67</v>
      </c>
      <c r="J16" s="160">
        <v>21.3</v>
      </c>
      <c r="K16" s="160">
        <v>26</v>
      </c>
      <c r="M16" s="8"/>
      <c r="N16" s="8"/>
      <c r="O16" s="8"/>
      <c r="Q16" s="149"/>
      <c r="R16" s="157"/>
      <c r="S16" s="157"/>
    </row>
    <row r="17" spans="1:19" ht="46.8" x14ac:dyDescent="0.3">
      <c r="A17" s="85" t="s">
        <v>134</v>
      </c>
      <c r="B17" s="140" t="s">
        <v>135</v>
      </c>
      <c r="C17" s="410">
        <v>6.61</v>
      </c>
      <c r="D17" s="154">
        <v>1.95</v>
      </c>
      <c r="E17" s="154">
        <v>2.76</v>
      </c>
      <c r="F17" s="153">
        <v>0</v>
      </c>
      <c r="G17" s="153">
        <v>0</v>
      </c>
      <c r="H17" s="153">
        <v>0</v>
      </c>
      <c r="I17" s="410">
        <v>8.09</v>
      </c>
      <c r="J17" s="160">
        <v>3.09</v>
      </c>
      <c r="K17" s="160">
        <v>5.16</v>
      </c>
      <c r="M17" s="8"/>
      <c r="N17" s="8"/>
      <c r="O17" s="8"/>
      <c r="Q17" s="149"/>
      <c r="R17" s="157"/>
      <c r="S17" s="157"/>
    </row>
    <row r="18" spans="1:19" ht="31.2" x14ac:dyDescent="0.3">
      <c r="A18" s="85" t="s">
        <v>136</v>
      </c>
      <c r="B18" s="140" t="s">
        <v>137</v>
      </c>
      <c r="C18" s="410">
        <f t="shared" ref="C18:E18" si="5">C19+C20+C21+C22+C23</f>
        <v>17.989999999999998</v>
      </c>
      <c r="D18" s="154">
        <f t="shared" si="5"/>
        <v>27.15</v>
      </c>
      <c r="E18" s="154">
        <f t="shared" si="5"/>
        <v>37.09399999999998</v>
      </c>
      <c r="F18" s="153">
        <v>0</v>
      </c>
      <c r="G18" s="153">
        <v>0</v>
      </c>
      <c r="H18" s="153">
        <v>0</v>
      </c>
      <c r="I18" s="410">
        <f>I19+I20+I21+I22+I23</f>
        <v>286.13</v>
      </c>
      <c r="J18" s="154">
        <f t="shared" ref="J18:K18" si="6">J19+J20+J21+J22+J23</f>
        <v>43.18</v>
      </c>
      <c r="K18" s="154">
        <f t="shared" si="6"/>
        <v>69.28</v>
      </c>
      <c r="M18" s="8"/>
      <c r="N18" s="8"/>
      <c r="O18" s="8"/>
      <c r="Q18" s="150"/>
      <c r="R18" s="150"/>
      <c r="S18" s="150"/>
    </row>
    <row r="19" spans="1:19" x14ac:dyDescent="0.3">
      <c r="A19" s="85" t="s">
        <v>138</v>
      </c>
      <c r="B19" s="141" t="s">
        <v>139</v>
      </c>
      <c r="C19" s="411">
        <v>5.01</v>
      </c>
      <c r="D19" s="155">
        <v>1.5</v>
      </c>
      <c r="E19" s="155">
        <v>1.58</v>
      </c>
      <c r="F19" s="153">
        <v>0</v>
      </c>
      <c r="G19" s="153">
        <v>0</v>
      </c>
      <c r="H19" s="153">
        <v>0</v>
      </c>
      <c r="I19" s="411">
        <v>6.12</v>
      </c>
      <c r="J19" s="161">
        <v>2.38</v>
      </c>
      <c r="K19" s="161">
        <v>2.96</v>
      </c>
      <c r="M19" s="8"/>
      <c r="N19" s="8"/>
      <c r="O19" s="8"/>
      <c r="Q19" s="151"/>
      <c r="R19" s="158"/>
      <c r="S19" s="158"/>
    </row>
    <row r="20" spans="1:19" ht="31.2" x14ac:dyDescent="0.3">
      <c r="A20" s="85" t="s">
        <v>140</v>
      </c>
      <c r="B20" s="141" t="s">
        <v>141</v>
      </c>
      <c r="C20" s="411">
        <v>1.86</v>
      </c>
      <c r="D20" s="155">
        <v>8.9</v>
      </c>
      <c r="E20" s="155">
        <v>0.87</v>
      </c>
      <c r="F20" s="153">
        <v>0</v>
      </c>
      <c r="G20" s="153">
        <v>0</v>
      </c>
      <c r="H20" s="153">
        <v>0</v>
      </c>
      <c r="I20" s="411">
        <v>2.2799999999999998</v>
      </c>
      <c r="J20" s="161">
        <v>14.15</v>
      </c>
      <c r="K20" s="161">
        <v>1.63</v>
      </c>
      <c r="M20" s="8"/>
      <c r="N20" s="8"/>
      <c r="O20" s="8"/>
      <c r="Q20" s="151"/>
      <c r="R20" s="158"/>
      <c r="S20" s="158"/>
    </row>
    <row r="21" spans="1:19" ht="62.4" x14ac:dyDescent="0.3">
      <c r="A21" s="85" t="s">
        <v>142</v>
      </c>
      <c r="B21" s="141" t="s">
        <v>143</v>
      </c>
      <c r="C21" s="411">
        <v>9.5299999999999994</v>
      </c>
      <c r="D21" s="155">
        <v>4.7300000000000004</v>
      </c>
      <c r="E21" s="155">
        <v>5.36</v>
      </c>
      <c r="F21" s="153">
        <v>0</v>
      </c>
      <c r="G21" s="153">
        <v>0</v>
      </c>
      <c r="H21" s="153">
        <v>0</v>
      </c>
      <c r="I21" s="411">
        <v>11.66</v>
      </c>
      <c r="J21" s="161">
        <v>7.52</v>
      </c>
      <c r="K21" s="161">
        <v>10</v>
      </c>
      <c r="M21" s="8"/>
      <c r="N21" s="8"/>
      <c r="O21" s="8"/>
      <c r="Q21" s="151"/>
      <c r="R21" s="158"/>
      <c r="S21" s="158"/>
    </row>
    <row r="22" spans="1:19" x14ac:dyDescent="0.3">
      <c r="A22" s="85" t="s">
        <v>144</v>
      </c>
      <c r="B22" s="141" t="s">
        <v>145</v>
      </c>
      <c r="C22" s="411">
        <v>0</v>
      </c>
      <c r="D22" s="155">
        <v>0</v>
      </c>
      <c r="E22" s="155">
        <v>0</v>
      </c>
      <c r="F22" s="153">
        <v>0</v>
      </c>
      <c r="G22" s="153">
        <v>0</v>
      </c>
      <c r="H22" s="153">
        <v>0</v>
      </c>
      <c r="I22" s="411">
        <v>0</v>
      </c>
      <c r="J22" s="161">
        <v>0</v>
      </c>
      <c r="K22" s="161">
        <v>0</v>
      </c>
      <c r="M22" s="8"/>
      <c r="N22" s="8"/>
      <c r="O22" s="8"/>
      <c r="Q22" s="151"/>
      <c r="R22" s="158"/>
      <c r="S22" s="158"/>
    </row>
    <row r="23" spans="1:19" ht="31.2" x14ac:dyDescent="0.3">
      <c r="A23" s="85" t="s">
        <v>146</v>
      </c>
      <c r="B23" s="141" t="s">
        <v>147</v>
      </c>
      <c r="C23" s="411">
        <v>1.59</v>
      </c>
      <c r="D23" s="155">
        <v>12.02</v>
      </c>
      <c r="E23" s="155">
        <v>29.283999999999978</v>
      </c>
      <c r="F23" s="153">
        <v>0</v>
      </c>
      <c r="G23" s="153">
        <v>0</v>
      </c>
      <c r="H23" s="153">
        <v>0</v>
      </c>
      <c r="I23" s="411">
        <v>266.07</v>
      </c>
      <c r="J23" s="161">
        <v>19.13</v>
      </c>
      <c r="K23" s="161">
        <v>54.69</v>
      </c>
      <c r="M23" s="8"/>
      <c r="N23" s="8"/>
      <c r="O23" s="8"/>
      <c r="Q23" s="151"/>
      <c r="R23" s="158"/>
      <c r="S23" s="158"/>
    </row>
    <row r="24" spans="1:19" x14ac:dyDescent="0.3">
      <c r="A24" s="85" t="s">
        <v>148</v>
      </c>
      <c r="B24" s="139" t="s">
        <v>149</v>
      </c>
      <c r="C24" s="410">
        <f t="shared" ref="C24:I24" si="7">C25+C26+C27+C28</f>
        <v>11.120000000000001</v>
      </c>
      <c r="D24" s="154">
        <f t="shared" si="7"/>
        <v>3.9</v>
      </c>
      <c r="E24" s="154">
        <f t="shared" si="7"/>
        <v>15.689999999999998</v>
      </c>
      <c r="F24" s="153">
        <v>0</v>
      </c>
      <c r="G24" s="153">
        <v>0</v>
      </c>
      <c r="H24" s="153">
        <v>0</v>
      </c>
      <c r="I24" s="410">
        <f t="shared" si="7"/>
        <v>13.59</v>
      </c>
      <c r="J24" s="154">
        <f t="shared" ref="J24:K24" si="8">J25+J26+J27+J28</f>
        <v>6.2</v>
      </c>
      <c r="K24" s="154">
        <f t="shared" si="8"/>
        <v>29.310000000000002</v>
      </c>
      <c r="M24" s="8"/>
      <c r="N24" s="8"/>
      <c r="O24" s="8"/>
      <c r="Q24" s="150"/>
      <c r="R24" s="150"/>
      <c r="S24" s="150"/>
    </row>
    <row r="25" spans="1:19" x14ac:dyDescent="0.3">
      <c r="A25" s="85" t="s">
        <v>150</v>
      </c>
      <c r="B25" s="140" t="s">
        <v>151</v>
      </c>
      <c r="C25" s="410">
        <v>0.54</v>
      </c>
      <c r="D25" s="154">
        <v>0.39</v>
      </c>
      <c r="E25" s="154">
        <v>0.7</v>
      </c>
      <c r="F25" s="153">
        <v>0</v>
      </c>
      <c r="G25" s="153">
        <v>0</v>
      </c>
      <c r="H25" s="153">
        <v>0</v>
      </c>
      <c r="I25" s="410">
        <v>0.66</v>
      </c>
      <c r="J25" s="160">
        <v>0.61</v>
      </c>
      <c r="K25" s="160">
        <v>1.3</v>
      </c>
      <c r="M25" s="8"/>
      <c r="N25" s="8"/>
      <c r="O25" s="8"/>
      <c r="Q25" s="149"/>
      <c r="R25" s="157"/>
      <c r="S25" s="157"/>
    </row>
    <row r="26" spans="1:19" x14ac:dyDescent="0.3">
      <c r="A26" s="85" t="s">
        <v>152</v>
      </c>
      <c r="B26" s="140" t="s">
        <v>153</v>
      </c>
      <c r="C26" s="410">
        <v>0</v>
      </c>
      <c r="D26" s="154">
        <v>0</v>
      </c>
      <c r="E26" s="154">
        <v>0</v>
      </c>
      <c r="F26" s="154">
        <v>0</v>
      </c>
      <c r="G26" s="154">
        <v>0</v>
      </c>
      <c r="H26" s="405">
        <v>0</v>
      </c>
      <c r="I26" s="410">
        <v>0</v>
      </c>
      <c r="J26" s="160">
        <v>0</v>
      </c>
      <c r="K26" s="160">
        <v>0</v>
      </c>
      <c r="M26" s="8"/>
      <c r="N26" s="8"/>
      <c r="O26" s="8"/>
      <c r="Q26" s="149"/>
      <c r="R26" s="157"/>
      <c r="S26" s="157"/>
    </row>
    <row r="27" spans="1:19" x14ac:dyDescent="0.3">
      <c r="A27" s="85" t="s">
        <v>154</v>
      </c>
      <c r="B27" s="140" t="s">
        <v>155</v>
      </c>
      <c r="C27" s="410">
        <v>8.8699999999999992</v>
      </c>
      <c r="D27" s="154">
        <v>1.66</v>
      </c>
      <c r="E27" s="154">
        <v>9.4499999999999993</v>
      </c>
      <c r="F27" s="153">
        <v>0</v>
      </c>
      <c r="G27" s="153">
        <v>0</v>
      </c>
      <c r="H27" s="406">
        <v>0</v>
      </c>
      <c r="I27" s="410">
        <v>10.83</v>
      </c>
      <c r="J27" s="160">
        <v>2.64</v>
      </c>
      <c r="K27" s="160">
        <v>17.650000000000002</v>
      </c>
      <c r="M27" s="8"/>
      <c r="N27" s="8"/>
      <c r="O27" s="8"/>
      <c r="Q27" s="149"/>
      <c r="R27" s="157"/>
      <c r="S27" s="157"/>
    </row>
    <row r="28" spans="1:19" ht="31.8" thickBot="1" x14ac:dyDescent="0.35">
      <c r="A28" s="142" t="s">
        <v>156</v>
      </c>
      <c r="B28" s="143" t="s">
        <v>157</v>
      </c>
      <c r="C28" s="412">
        <v>1.71</v>
      </c>
      <c r="D28" s="156">
        <v>1.85</v>
      </c>
      <c r="E28" s="156">
        <v>5.54</v>
      </c>
      <c r="F28" s="407">
        <v>0</v>
      </c>
      <c r="G28" s="407">
        <v>0</v>
      </c>
      <c r="H28" s="408">
        <v>0</v>
      </c>
      <c r="I28" s="412">
        <v>2.1</v>
      </c>
      <c r="J28" s="162">
        <v>2.95</v>
      </c>
      <c r="K28" s="162">
        <v>10.36</v>
      </c>
      <c r="M28" s="8"/>
      <c r="N28" s="8"/>
      <c r="O28" s="8"/>
      <c r="Q28" s="152"/>
      <c r="R28" s="159"/>
      <c r="S28" s="159"/>
    </row>
    <row r="29" spans="1:19" x14ac:dyDescent="0.3">
      <c r="A29" s="134"/>
    </row>
    <row r="30" spans="1:19" x14ac:dyDescent="0.3">
      <c r="D30" s="8"/>
      <c r="F30" s="8"/>
      <c r="I30" s="8"/>
    </row>
    <row r="31" spans="1:19" ht="21" x14ac:dyDescent="0.3">
      <c r="B31" s="49"/>
      <c r="C31" s="49" t="s">
        <v>571</v>
      </c>
      <c r="D31" s="49"/>
      <c r="E31" s="49"/>
      <c r="F31" s="49"/>
      <c r="G31" s="49"/>
      <c r="H31" s="49" t="s">
        <v>168</v>
      </c>
      <c r="I31" s="49"/>
      <c r="J31" s="49"/>
      <c r="K31" s="49"/>
      <c r="L31" s="49"/>
      <c r="M31" s="49"/>
      <c r="N31" s="49"/>
      <c r="O31" s="49"/>
    </row>
    <row r="35" spans="6:10" x14ac:dyDescent="0.3">
      <c r="F35" s="87"/>
      <c r="G35" s="87"/>
      <c r="H35" s="87"/>
    </row>
    <row r="36" spans="6:10" x14ac:dyDescent="0.3">
      <c r="F36" s="87"/>
      <c r="G36" s="87"/>
      <c r="H36" s="87"/>
    </row>
    <row r="37" spans="6:10" x14ac:dyDescent="0.3">
      <c r="F37" s="87"/>
      <c r="G37" s="87"/>
      <c r="H37" s="87"/>
      <c r="J37" s="87"/>
    </row>
    <row r="38" spans="6:10" x14ac:dyDescent="0.3">
      <c r="F38" s="87"/>
      <c r="G38" s="87"/>
      <c r="H38" s="87"/>
      <c r="J38" s="87"/>
    </row>
    <row r="39" spans="6:10" x14ac:dyDescent="0.3">
      <c r="F39" s="87"/>
      <c r="G39" s="87"/>
      <c r="H39" s="87"/>
      <c r="J39" s="87"/>
    </row>
    <row r="40" spans="6:10" x14ac:dyDescent="0.3">
      <c r="F40" s="87"/>
      <c r="G40" s="87"/>
      <c r="H40" s="87"/>
      <c r="J40" s="87"/>
    </row>
    <row r="41" spans="6:10" x14ac:dyDescent="0.3">
      <c r="F41" s="87"/>
      <c r="G41" s="87"/>
      <c r="H41" s="87"/>
      <c r="J41" s="87"/>
    </row>
    <row r="42" spans="6:10" x14ac:dyDescent="0.3">
      <c r="F42" s="87"/>
      <c r="G42" s="87"/>
      <c r="H42" s="87"/>
      <c r="J42" s="87"/>
    </row>
    <row r="43" spans="6:10" x14ac:dyDescent="0.3">
      <c r="F43" s="87"/>
      <c r="G43" s="87"/>
      <c r="H43" s="87"/>
      <c r="J43" s="87"/>
    </row>
    <row r="44" spans="6:10" x14ac:dyDescent="0.3">
      <c r="F44" s="87"/>
      <c r="G44" s="87"/>
      <c r="H44" s="87"/>
      <c r="J44" s="87"/>
    </row>
    <row r="45" spans="6:10" x14ac:dyDescent="0.3">
      <c r="F45" s="87"/>
      <c r="G45" s="87"/>
      <c r="H45" s="87"/>
      <c r="J45" s="87"/>
    </row>
    <row r="46" spans="6:10" x14ac:dyDescent="0.3">
      <c r="F46" s="87"/>
      <c r="G46" s="87"/>
      <c r="H46" s="87"/>
      <c r="J46" s="87"/>
    </row>
    <row r="47" spans="6:10" x14ac:dyDescent="0.3">
      <c r="F47" s="87"/>
      <c r="G47" s="87"/>
      <c r="H47" s="87"/>
      <c r="J47" s="87"/>
    </row>
    <row r="48" spans="6:10" x14ac:dyDescent="0.3">
      <c r="F48" s="87"/>
      <c r="G48" s="87"/>
      <c r="H48" s="87"/>
      <c r="J48" s="87"/>
    </row>
    <row r="49" spans="6:11" x14ac:dyDescent="0.3">
      <c r="F49" s="87"/>
      <c r="G49" s="87"/>
      <c r="H49" s="87"/>
    </row>
    <row r="50" spans="6:11" x14ac:dyDescent="0.3">
      <c r="F50" s="87"/>
      <c r="G50" s="87"/>
      <c r="H50" s="87"/>
      <c r="K50" s="87"/>
    </row>
    <row r="51" spans="6:11" x14ac:dyDescent="0.3">
      <c r="F51" s="87"/>
      <c r="G51" s="87"/>
      <c r="H51" s="87"/>
      <c r="K51" s="87"/>
    </row>
    <row r="52" spans="6:11" x14ac:dyDescent="0.3">
      <c r="F52" s="87"/>
      <c r="G52" s="87"/>
      <c r="H52" s="87"/>
      <c r="K52" s="87"/>
    </row>
    <row r="53" spans="6:11" x14ac:dyDescent="0.3">
      <c r="F53" s="87"/>
      <c r="G53" s="87"/>
      <c r="H53" s="87"/>
      <c r="K53" s="87"/>
    </row>
    <row r="54" spans="6:11" x14ac:dyDescent="0.3">
      <c r="F54" s="87"/>
      <c r="G54" s="87"/>
      <c r="H54" s="87"/>
      <c r="K54" s="87"/>
    </row>
    <row r="55" spans="6:11" x14ac:dyDescent="0.3">
      <c r="F55" s="87"/>
      <c r="G55" s="87"/>
      <c r="H55" s="87"/>
      <c r="K55" s="87"/>
    </row>
    <row r="56" spans="6:11" x14ac:dyDescent="0.3">
      <c r="F56" s="87"/>
      <c r="G56" s="87"/>
      <c r="H56" s="87"/>
      <c r="K56" s="87"/>
    </row>
    <row r="57" spans="6:11" x14ac:dyDescent="0.3">
      <c r="F57" s="87"/>
      <c r="G57" s="87"/>
      <c r="H57" s="87"/>
      <c r="K57" s="87"/>
    </row>
    <row r="58" spans="6:11" x14ac:dyDescent="0.3">
      <c r="F58" s="87"/>
      <c r="G58" s="87"/>
      <c r="H58" s="87"/>
      <c r="K58" s="87"/>
    </row>
    <row r="59" spans="6:11" x14ac:dyDescent="0.3">
      <c r="F59" s="87"/>
      <c r="G59" s="87"/>
      <c r="H59" s="87"/>
      <c r="K59" s="87"/>
    </row>
    <row r="60" spans="6:11" x14ac:dyDescent="0.3">
      <c r="F60" s="87"/>
      <c r="G60" s="87"/>
      <c r="H60" s="87"/>
      <c r="K60" s="87"/>
    </row>
    <row r="61" spans="6:11" x14ac:dyDescent="0.3">
      <c r="F61" s="87"/>
      <c r="G61" s="87"/>
      <c r="H61" s="87"/>
      <c r="K61" s="87"/>
    </row>
  </sheetData>
  <mergeCells count="10">
    <mergeCell ref="A7:A8"/>
    <mergeCell ref="B7:B8"/>
    <mergeCell ref="C8:E8"/>
    <mergeCell ref="F8:H8"/>
    <mergeCell ref="I8:K8"/>
    <mergeCell ref="A1:K1"/>
    <mergeCell ref="A2:K2"/>
    <mergeCell ref="A4:K4"/>
    <mergeCell ref="A5:K5"/>
    <mergeCell ref="A6:E6"/>
  </mergeCells>
  <phoneticPr fontId="26" type="noConversion"/>
  <printOptions horizontalCentered="1"/>
  <pageMargins left="0.25" right="0.25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 1 город 2019</vt:lpstr>
      <vt:lpstr>Прил. 1 город 2020</vt:lpstr>
      <vt:lpstr>Прил. 1 город 2021)</vt:lpstr>
      <vt:lpstr>Прил. 2 </vt:lpstr>
      <vt:lpstr>Прил. 3</vt:lpstr>
      <vt:lpstr>'Прил. 1 город 2019'!Область_печати</vt:lpstr>
      <vt:lpstr>'Прил. 1 город 2020'!Область_печати</vt:lpstr>
      <vt:lpstr>'Прил. 1 город 2021)'!Область_печати</vt:lpstr>
      <vt:lpstr>'Прил. 2 '!Область_печати</vt:lpstr>
      <vt:lpstr>'Прил.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Гайсина Елена Вячеславовна</dc:creator>
  <cp:lastModifiedBy>Econ1</cp:lastModifiedBy>
  <cp:lastPrinted>2022-09-23T12:29:44Z</cp:lastPrinted>
  <dcterms:created xsi:type="dcterms:W3CDTF">2021-11-16T10:01:39Z</dcterms:created>
  <dcterms:modified xsi:type="dcterms:W3CDTF">2022-10-19T12:25:02Z</dcterms:modified>
</cp:coreProperties>
</file>